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F0E9E17-5894-45B0-94F0-5C4D84DC81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0" sheetId="2" r:id="rId1"/>
    <sheet name="2021" sheetId="3" r:id="rId2"/>
    <sheet name="2022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0" i="4" l="1"/>
  <c r="T129" i="4"/>
  <c r="R129" i="4"/>
  <c r="R128" i="4"/>
  <c r="T127" i="4"/>
  <c r="R127" i="4"/>
  <c r="R126" i="4"/>
  <c r="T125" i="4"/>
  <c r="R125" i="4"/>
  <c r="R124" i="4"/>
  <c r="T123" i="4"/>
  <c r="R123" i="4"/>
  <c r="R122" i="4"/>
  <c r="N121" i="4"/>
  <c r="R120" i="4"/>
  <c r="Q119" i="4"/>
  <c r="L119" i="4"/>
  <c r="K119" i="4"/>
  <c r="I119" i="4"/>
  <c r="F119" i="4"/>
  <c r="R118" i="4"/>
  <c r="T117" i="4"/>
  <c r="R117" i="4"/>
  <c r="R116" i="4"/>
  <c r="T115" i="4"/>
  <c r="R115" i="4"/>
  <c r="R114" i="4"/>
  <c r="T113" i="4"/>
  <c r="R113" i="4"/>
  <c r="R112" i="4"/>
  <c r="Q111" i="4"/>
  <c r="I111" i="4"/>
  <c r="F111" i="4"/>
  <c r="R110" i="4"/>
  <c r="T109" i="4"/>
  <c r="R109" i="4"/>
  <c r="R108" i="4"/>
  <c r="T107" i="4"/>
  <c r="R107" i="4"/>
  <c r="R106" i="4"/>
  <c r="T105" i="4"/>
  <c r="R105" i="4"/>
  <c r="R104" i="4"/>
  <c r="T103" i="4"/>
  <c r="R103" i="4"/>
  <c r="R102" i="4"/>
  <c r="T101" i="4"/>
  <c r="R101" i="4"/>
  <c r="R100" i="4"/>
  <c r="T99" i="4"/>
  <c r="R99" i="4"/>
  <c r="R98" i="4"/>
  <c r="T97" i="4"/>
  <c r="R97" i="4"/>
  <c r="R96" i="4"/>
  <c r="T95" i="4"/>
  <c r="R95" i="4"/>
  <c r="R94" i="4"/>
  <c r="T93" i="4"/>
  <c r="R93" i="4"/>
  <c r="R92" i="4"/>
  <c r="T91" i="4"/>
  <c r="R91" i="4"/>
  <c r="R90" i="4"/>
  <c r="O89" i="4"/>
  <c r="R88" i="4"/>
  <c r="T87" i="4"/>
  <c r="R87" i="4"/>
  <c r="R86" i="4"/>
  <c r="Q85" i="4"/>
  <c r="N85" i="4"/>
  <c r="L85" i="4"/>
  <c r="K85" i="4"/>
  <c r="I85" i="4"/>
  <c r="F85" i="4"/>
  <c r="R84" i="4"/>
  <c r="Q83" i="4"/>
  <c r="P83" i="4"/>
  <c r="O83" i="4"/>
  <c r="N83" i="4"/>
  <c r="M83" i="4"/>
  <c r="L83" i="4"/>
  <c r="K83" i="4"/>
  <c r="I83" i="4"/>
  <c r="R82" i="4"/>
  <c r="T81" i="4"/>
  <c r="R81" i="4"/>
  <c r="R80" i="4"/>
  <c r="T79" i="4"/>
  <c r="R79" i="4"/>
  <c r="R78" i="4"/>
  <c r="T77" i="4"/>
  <c r="R77" i="4"/>
  <c r="R76" i="4"/>
  <c r="T75" i="4"/>
  <c r="R75" i="4"/>
  <c r="R74" i="4"/>
  <c r="T73" i="4"/>
  <c r="R73" i="4"/>
  <c r="R72" i="4"/>
  <c r="Q71" i="4"/>
  <c r="P71" i="4"/>
  <c r="O71" i="4"/>
  <c r="N71" i="4"/>
  <c r="M71" i="4"/>
  <c r="L71" i="4"/>
  <c r="K71" i="4"/>
  <c r="I71" i="4"/>
  <c r="F71" i="4"/>
  <c r="R70" i="4"/>
  <c r="Q69" i="4"/>
  <c r="O69" i="4"/>
  <c r="N69" i="4"/>
  <c r="M69" i="4"/>
  <c r="L69" i="4"/>
  <c r="K69" i="4"/>
  <c r="I69" i="4"/>
  <c r="F69" i="4"/>
  <c r="R68" i="4"/>
  <c r="Q67" i="4"/>
  <c r="O67" i="4"/>
  <c r="M67" i="4"/>
  <c r="L67" i="4"/>
  <c r="K67" i="4"/>
  <c r="I67" i="4"/>
  <c r="F67" i="4"/>
  <c r="R66" i="4"/>
  <c r="Q65" i="4"/>
  <c r="P65" i="4"/>
  <c r="L65" i="4"/>
  <c r="K65" i="4"/>
  <c r="I65" i="4"/>
  <c r="F65" i="4"/>
  <c r="R64" i="4"/>
  <c r="Q63" i="4"/>
  <c r="O63" i="4"/>
  <c r="N63" i="4"/>
  <c r="M63" i="4"/>
  <c r="L63" i="4"/>
  <c r="K63" i="4"/>
  <c r="I63" i="4"/>
  <c r="F63" i="4"/>
  <c r="R62" i="4"/>
  <c r="I61" i="4"/>
  <c r="R60" i="4"/>
  <c r="Q59" i="4"/>
  <c r="P59" i="4"/>
  <c r="O59" i="4"/>
  <c r="N59" i="4"/>
  <c r="M59" i="4"/>
  <c r="L59" i="4"/>
  <c r="K59" i="4"/>
  <c r="I59" i="4"/>
  <c r="F59" i="4"/>
  <c r="R58" i="4"/>
  <c r="Q57" i="4"/>
  <c r="P57" i="4"/>
  <c r="O57" i="4"/>
  <c r="N57" i="4"/>
  <c r="M57" i="4"/>
  <c r="L57" i="4"/>
  <c r="K57" i="4"/>
  <c r="I57" i="4"/>
  <c r="F57" i="4"/>
  <c r="R56" i="4"/>
  <c r="T55" i="4"/>
  <c r="R55" i="4"/>
  <c r="R54" i="4"/>
  <c r="Q53" i="4"/>
  <c r="P53" i="4"/>
  <c r="O53" i="4"/>
  <c r="N53" i="4"/>
  <c r="M53" i="4"/>
  <c r="L53" i="4"/>
  <c r="K53" i="4"/>
  <c r="I53" i="4"/>
  <c r="F53" i="4"/>
  <c r="U52" i="4"/>
  <c r="R52" i="4"/>
  <c r="Q51" i="4"/>
  <c r="P51" i="4"/>
  <c r="O51" i="4"/>
  <c r="N51" i="4"/>
  <c r="M51" i="4"/>
  <c r="L51" i="4"/>
  <c r="K51" i="4"/>
  <c r="I51" i="4"/>
  <c r="F51" i="4"/>
  <c r="T50" i="4"/>
  <c r="R50" i="4"/>
  <c r="Q49" i="4"/>
  <c r="P49" i="4"/>
  <c r="O49" i="4"/>
  <c r="N49" i="4"/>
  <c r="M49" i="4"/>
  <c r="L49" i="4"/>
  <c r="K49" i="4"/>
  <c r="I49" i="4"/>
  <c r="F49" i="4"/>
  <c r="R48" i="4"/>
  <c r="Q47" i="4"/>
  <c r="P47" i="4"/>
  <c r="O47" i="4"/>
  <c r="N47" i="4"/>
  <c r="M47" i="4"/>
  <c r="L47" i="4"/>
  <c r="K47" i="4"/>
  <c r="J47" i="4"/>
  <c r="I47" i="4"/>
  <c r="H47" i="4"/>
  <c r="G47" i="4"/>
  <c r="F47" i="4"/>
  <c r="U46" i="4"/>
  <c r="U131" i="4" s="1"/>
  <c r="Q132" i="4" s="1"/>
  <c r="R46" i="4"/>
  <c r="T45" i="4"/>
  <c r="R45" i="4"/>
  <c r="R44" i="4"/>
  <c r="M43" i="4"/>
  <c r="R42" i="4"/>
  <c r="Q41" i="4"/>
  <c r="L41" i="4"/>
  <c r="K41" i="4"/>
  <c r="I41" i="4"/>
  <c r="F41" i="4"/>
  <c r="R40" i="4"/>
  <c r="T39" i="4"/>
  <c r="R39" i="4"/>
  <c r="R38" i="4"/>
  <c r="T37" i="4"/>
  <c r="R37" i="4"/>
  <c r="R36" i="4"/>
  <c r="Q35" i="4"/>
  <c r="P35" i="4"/>
  <c r="O35" i="4"/>
  <c r="M35" i="4"/>
  <c r="L35" i="4"/>
  <c r="K35" i="4"/>
  <c r="I35" i="4"/>
  <c r="F35" i="4"/>
  <c r="R34" i="4"/>
  <c r="Q33" i="4"/>
  <c r="P33" i="4"/>
  <c r="O33" i="4"/>
  <c r="M33" i="4"/>
  <c r="L33" i="4"/>
  <c r="K33" i="4"/>
  <c r="I33" i="4"/>
  <c r="F33" i="4"/>
  <c r="R32" i="4"/>
  <c r="Q31" i="4"/>
  <c r="P31" i="4"/>
  <c r="O31" i="4"/>
  <c r="M31" i="4"/>
  <c r="L31" i="4"/>
  <c r="K31" i="4"/>
  <c r="I31" i="4"/>
  <c r="F31" i="4"/>
  <c r="R30" i="4"/>
  <c r="Q29" i="4"/>
  <c r="P29" i="4"/>
  <c r="O29" i="4"/>
  <c r="M29" i="4"/>
  <c r="L29" i="4"/>
  <c r="K29" i="4"/>
  <c r="I29" i="4"/>
  <c r="F29" i="4"/>
  <c r="R28" i="4"/>
  <c r="Q27" i="4"/>
  <c r="L27" i="4"/>
  <c r="K27" i="4"/>
  <c r="F27" i="4"/>
  <c r="R26" i="4"/>
  <c r="Q25" i="4"/>
  <c r="P25" i="4"/>
  <c r="O25" i="4"/>
  <c r="M25" i="4"/>
  <c r="L25" i="4"/>
  <c r="K25" i="4"/>
  <c r="I25" i="4"/>
  <c r="F25" i="4"/>
  <c r="R24" i="4"/>
  <c r="T23" i="4"/>
  <c r="R23" i="4"/>
  <c r="R22" i="4"/>
  <c r="T21" i="4"/>
  <c r="R21" i="4"/>
  <c r="R20" i="4"/>
  <c r="Q19" i="4"/>
  <c r="M19" i="4"/>
  <c r="L19" i="4"/>
  <c r="K19" i="4"/>
  <c r="J19" i="4"/>
  <c r="I19" i="4"/>
  <c r="F19" i="4"/>
  <c r="R18" i="4"/>
  <c r="T17" i="4"/>
  <c r="R17" i="4"/>
  <c r="R16" i="4"/>
  <c r="M15" i="4"/>
  <c r="J15" i="4"/>
  <c r="I15" i="4"/>
  <c r="G15" i="4"/>
  <c r="F15" i="4"/>
  <c r="A15" i="4"/>
  <c r="A17" i="4" s="1"/>
  <c r="A19" i="4" s="1"/>
  <c r="A21" i="4" s="1"/>
  <c r="A23" i="4" s="1"/>
  <c r="A25" i="4" s="1"/>
  <c r="A27" i="4" s="1"/>
  <c r="A29" i="4" s="1"/>
  <c r="A31" i="4" s="1"/>
  <c r="A33" i="4" s="1"/>
  <c r="A35" i="4" s="1"/>
  <c r="A37" i="4" s="1"/>
  <c r="A39" i="4" s="1"/>
  <c r="A41" i="4" s="1"/>
  <c r="A43" i="4" s="1"/>
  <c r="A45" i="4" s="1"/>
  <c r="A47" i="4" s="1"/>
  <c r="A49" i="4" s="1"/>
  <c r="A51" i="4" s="1"/>
  <c r="A53" i="4" s="1"/>
  <c r="A55" i="4" s="1"/>
  <c r="A57" i="4" s="1"/>
  <c r="A59" i="4" s="1"/>
  <c r="A61" i="4" s="1"/>
  <c r="A63" i="4" s="1"/>
  <c r="A65" i="4" s="1"/>
  <c r="A67" i="4" s="1"/>
  <c r="A69" i="4" s="1"/>
  <c r="A71" i="4" s="1"/>
  <c r="A73" i="4" s="1"/>
  <c r="A75" i="4" s="1"/>
  <c r="A77" i="4" s="1"/>
  <c r="A79" i="4" s="1"/>
  <c r="A81" i="4" s="1"/>
  <c r="A83" i="4" s="1"/>
  <c r="A85" i="4" s="1"/>
  <c r="A87" i="4" s="1"/>
  <c r="A89" i="4" s="1"/>
  <c r="A91" i="4" s="1"/>
  <c r="A93" i="4" s="1"/>
  <c r="A95" i="4" s="1"/>
  <c r="A97" i="4" s="1"/>
  <c r="A99" i="4" s="1"/>
  <c r="A101" i="4" s="1"/>
  <c r="A103" i="4" s="1"/>
  <c r="A105" i="4" s="1"/>
  <c r="A107" i="4" s="1"/>
  <c r="A109" i="4" s="1"/>
  <c r="A111" i="4" s="1"/>
  <c r="A113" i="4" s="1"/>
  <c r="A115" i="4" s="1"/>
  <c r="A117" i="4" s="1"/>
  <c r="A119" i="4" s="1"/>
  <c r="A121" i="4" s="1"/>
  <c r="A123" i="4" s="1"/>
  <c r="A125" i="4" s="1"/>
  <c r="A127" i="4" s="1"/>
  <c r="A129" i="4" s="1"/>
  <c r="R14" i="4"/>
  <c r="Q13" i="4"/>
  <c r="K13" i="4"/>
  <c r="J13" i="4"/>
  <c r="I13" i="4"/>
  <c r="H13" i="4"/>
  <c r="G13" i="4"/>
  <c r="F13" i="4"/>
  <c r="T13" i="4" l="1"/>
  <c r="R13" i="4"/>
  <c r="T15" i="4"/>
  <c r="R15" i="4"/>
  <c r="T19" i="4"/>
  <c r="R19" i="4"/>
  <c r="T25" i="4"/>
  <c r="R25" i="4"/>
  <c r="T27" i="4"/>
  <c r="R27" i="4"/>
  <c r="T29" i="4"/>
  <c r="R29" i="4"/>
  <c r="T31" i="4"/>
  <c r="R31" i="4"/>
  <c r="T33" i="4"/>
  <c r="R33" i="4"/>
  <c r="T35" i="4"/>
  <c r="R35" i="4"/>
  <c r="T41" i="4"/>
  <c r="R41" i="4"/>
  <c r="T43" i="4"/>
  <c r="R43" i="4"/>
  <c r="T47" i="4"/>
  <c r="R47" i="4"/>
  <c r="T49" i="4"/>
  <c r="R49" i="4"/>
  <c r="T51" i="4"/>
  <c r="R51" i="4"/>
  <c r="T53" i="4"/>
  <c r="R53" i="4"/>
  <c r="T57" i="4"/>
  <c r="R57" i="4"/>
  <c r="T59" i="4"/>
  <c r="R59" i="4"/>
  <c r="T61" i="4"/>
  <c r="R61" i="4"/>
  <c r="T63" i="4"/>
  <c r="R63" i="4"/>
  <c r="T65" i="4"/>
  <c r="R65" i="4"/>
  <c r="T67" i="4"/>
  <c r="R67" i="4"/>
  <c r="T69" i="4"/>
  <c r="R69" i="4"/>
  <c r="T71" i="4"/>
  <c r="R71" i="4"/>
  <c r="T83" i="4"/>
  <c r="R83" i="4"/>
  <c r="T85" i="4"/>
  <c r="R85" i="4"/>
  <c r="T89" i="4"/>
  <c r="R89" i="4"/>
  <c r="T111" i="4"/>
  <c r="R111" i="4"/>
  <c r="T119" i="4"/>
  <c r="R119" i="4"/>
  <c r="T121" i="4"/>
  <c r="R121" i="4"/>
  <c r="T131" i="4" l="1"/>
  <c r="Q131" i="4" s="1"/>
  <c r="Q133" i="4" s="1"/>
  <c r="T12" i="4"/>
  <c r="V12" i="4" s="1"/>
  <c r="V13" i="4" s="1"/>
  <c r="AA22" i="3" l="1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C21" i="3"/>
  <c r="AB21" i="3"/>
  <c r="AD21" i="3" s="1"/>
  <c r="AC20" i="3"/>
  <c r="AB20" i="3"/>
  <c r="AD20" i="3" s="1"/>
  <c r="AC19" i="3"/>
  <c r="AB19" i="3"/>
  <c r="AD19" i="3" s="1"/>
  <c r="AC18" i="3"/>
  <c r="AB18" i="3"/>
  <c r="AD18" i="3" s="1"/>
  <c r="AC16" i="3"/>
  <c r="AB16" i="3"/>
  <c r="AD16" i="3" s="1"/>
  <c r="AC14" i="3"/>
  <c r="AB14" i="3"/>
  <c r="AD14" i="3" s="1"/>
  <c r="AC13" i="3"/>
  <c r="AB13" i="3"/>
  <c r="AD13" i="3" s="1"/>
  <c r="AC12" i="3"/>
  <c r="AB12" i="3"/>
  <c r="AD12" i="3" s="1"/>
  <c r="AC11" i="3"/>
  <c r="AB11" i="3"/>
  <c r="AD11" i="3" s="1"/>
  <c r="AC10" i="3"/>
  <c r="AB10" i="3"/>
  <c r="AD10" i="3" s="1"/>
  <c r="AC9" i="3"/>
  <c r="AB9" i="3"/>
  <c r="AD9" i="3" s="1"/>
  <c r="AC8" i="3"/>
  <c r="AB8" i="3"/>
  <c r="AB22" i="2"/>
  <c r="Z22" i="2"/>
  <c r="X22" i="2"/>
  <c r="V22" i="2"/>
  <c r="T22" i="2"/>
  <c r="R22" i="2"/>
  <c r="P22" i="2"/>
  <c r="L22" i="2"/>
  <c r="J22" i="2"/>
  <c r="H22" i="2"/>
  <c r="F22" i="2"/>
  <c r="AC22" i="2" s="1"/>
  <c r="AC21" i="2"/>
  <c r="AC20" i="2"/>
  <c r="AC18" i="2"/>
  <c r="AC16" i="2"/>
  <c r="AC14" i="2"/>
  <c r="AC13" i="2"/>
  <c r="AC12" i="2"/>
  <c r="AC11" i="2"/>
  <c r="AC10" i="2"/>
  <c r="AC9" i="2"/>
  <c r="AB22" i="3" l="1"/>
  <c r="AD8" i="3"/>
  <c r="AD22" i="3" s="1"/>
  <c r="AG22" i="3" s="1"/>
  <c r="AH22" i="3" s="1"/>
  <c r="AC22" i="3"/>
</calcChain>
</file>

<file path=xl/sharedStrings.xml><?xml version="1.0" encoding="utf-8"?>
<sst xmlns="http://schemas.openxmlformats.org/spreadsheetml/2006/main" count="665" uniqueCount="246">
  <si>
    <t>Mei</t>
  </si>
  <si>
    <t>PEMERINTAH KABUPATEN BOLAANG MONGONDOW</t>
  </si>
  <si>
    <t>DINAS PARIWISATA DAN KEBUDAYAAN</t>
  </si>
  <si>
    <t>JALAN TRANS SULAWESI DESA LALOW KECAMATAN LOLAK</t>
  </si>
  <si>
    <t>DATA KUNJUNGAN WISATAWAN TAHUN  2020</t>
  </si>
  <si>
    <t>NO</t>
  </si>
  <si>
    <t>NAMA</t>
  </si>
  <si>
    <t>DESA/KECAMATAN</t>
  </si>
  <si>
    <t>JANUARI</t>
  </si>
  <si>
    <t>PEBRUARI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</si>
  <si>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</si>
  <si>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</si>
  <si>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</si>
  <si>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</si>
  <si>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</si>
  <si>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</si>
  <si>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</si>
  <si>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</si>
  <si>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</si>
  <si>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</si>
  <si>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</t>
  </si>
  <si>
    <t>KET</t>
  </si>
  <si>
    <t>OBYEK</t>
  </si>
  <si>
    <t>WISATA</t>
  </si>
  <si>
    <t xml:space="preserve">MAN </t>
  </si>
  <si>
    <t>NUS</t>
  </si>
  <si>
    <t>MAN</t>
  </si>
  <si>
    <t>1.</t>
  </si>
  <si>
    <t>Pantai Bungin</t>
  </si>
  <si>
    <t>Kec. Lolak</t>
  </si>
  <si>
    <t>-</t>
  </si>
  <si>
    <t>2.</t>
  </si>
  <si>
    <t>Pantai Losari</t>
  </si>
  <si>
    <t>3.</t>
  </si>
  <si>
    <t>Pantai Babo</t>
  </si>
  <si>
    <t>Kec. Sang Tombolang</t>
  </si>
  <si>
    <t>4.</t>
  </si>
  <si>
    <t>Kampung Nelayan</t>
  </si>
  <si>
    <t>5.</t>
  </si>
  <si>
    <t>Pantai Lolan</t>
  </si>
  <si>
    <t>Kec. Bolaang</t>
  </si>
  <si>
    <t>6.</t>
  </si>
  <si>
    <t xml:space="preserve">River Tebing </t>
  </si>
  <si>
    <t xml:space="preserve">Desa Toraut </t>
  </si>
  <si>
    <t>Transit</t>
  </si>
  <si>
    <t>Kec. Dumoga Barat</t>
  </si>
  <si>
    <t>7.</t>
  </si>
  <si>
    <t>Mengkang</t>
  </si>
  <si>
    <t xml:space="preserve">Desa Mengkang </t>
  </si>
  <si>
    <t>Kec. Lolayan</t>
  </si>
  <si>
    <t>8.</t>
  </si>
  <si>
    <t xml:space="preserve">Pemandian Air </t>
  </si>
  <si>
    <t xml:space="preserve">Desa Bakan </t>
  </si>
  <si>
    <t>Panas Bakan</t>
  </si>
  <si>
    <t>9.</t>
  </si>
  <si>
    <t>Pasir Putih</t>
  </si>
  <si>
    <t>Maelang</t>
  </si>
  <si>
    <t>10.</t>
  </si>
  <si>
    <t>Pantai Ompu</t>
  </si>
  <si>
    <t>Lolak</t>
  </si>
  <si>
    <t>Lolak,          Desember 2020</t>
  </si>
  <si>
    <t>KEPALA DINAS PARIWISATA DAN KEBUDAYAAN</t>
  </si>
  <si>
    <t>KABUPATEN BOLAANG MONGONDOW</t>
  </si>
  <si>
    <t>Dra. Hj. ULFA PAPUTUNGAN, MM</t>
  </si>
  <si>
    <t>PEMBINA UTAMA MUDA</t>
  </si>
  <si>
    <t>NIP. 19610813 198903 2 001</t>
  </si>
  <si>
    <t>DATA KUNJUNGAN WISATAWAN TAHUN  2022</t>
  </si>
  <si>
    <t>TOTAL</t>
  </si>
  <si>
    <t>River Tebing Transit</t>
  </si>
  <si>
    <t>Desa Toraut Kec. Dumoga Barat</t>
  </si>
  <si>
    <t>Desa Mengkang Kec. Lolayan</t>
  </si>
  <si>
    <t>Pemandian Air Panas Bakan</t>
  </si>
  <si>
    <t>Desa Bakan Kec. Lolayan</t>
  </si>
  <si>
    <t>11.</t>
  </si>
  <si>
    <t>Kebun Jati</t>
  </si>
  <si>
    <t>Desa Mopugad Kec. Dumoga Utara</t>
  </si>
  <si>
    <t>Balai TNBNW</t>
  </si>
  <si>
    <t>Lolak,          Januari 2023</t>
  </si>
  <si>
    <t>Hj. LINDA MASHOERI, SE</t>
  </si>
  <si>
    <t>NIP. 19660321 199102 2 002</t>
  </si>
  <si>
    <t xml:space="preserve">DINAS PARIWISATA DAN KEBUDAYAAN </t>
  </si>
  <si>
    <t>DATA JUMLAH PENGUNJUNG OBJEK WISATA TAHUN 2023</t>
  </si>
  <si>
    <t>DINAS PARIWISATA DAN KEBUDAYAAN KABUPATEN BOLAANG MONGONDOW</t>
  </si>
  <si>
    <t>No</t>
  </si>
  <si>
    <t>Nama Usaha / Wisata</t>
  </si>
  <si>
    <t>Pemilik / Pengusaha</t>
  </si>
  <si>
    <t>Lokasi</t>
  </si>
  <si>
    <t>KUNJUNGAN WISATAWAN</t>
  </si>
  <si>
    <t>JUMLAH KUNJUNGAN   ( ORANG)</t>
  </si>
  <si>
    <t>Keterangan</t>
  </si>
  <si>
    <t>Jan</t>
  </si>
  <si>
    <t>Fer</t>
  </si>
  <si>
    <t>Mar</t>
  </si>
  <si>
    <t>Apr</t>
  </si>
  <si>
    <t>Jun</t>
  </si>
  <si>
    <t>Jul</t>
  </si>
  <si>
    <t>Agu</t>
  </si>
  <si>
    <t>Sep</t>
  </si>
  <si>
    <t>Okt</t>
  </si>
  <si>
    <t>Nov</t>
  </si>
  <si>
    <t>Des</t>
  </si>
  <si>
    <t>Desa Wisata Pasir Putih Sallugo Boki</t>
  </si>
  <si>
    <t>Bumdes</t>
  </si>
  <si>
    <t>Desa Pasir Putih Kecamatan Sang Tombolang</t>
  </si>
  <si>
    <t>WISATAWAN LOKAL</t>
  </si>
  <si>
    <t>WISATAWAN ASING</t>
  </si>
  <si>
    <t>Kawasan Pulau Tiga</t>
  </si>
  <si>
    <t>Pemprov</t>
  </si>
  <si>
    <t>Pantai Pasir Putih</t>
  </si>
  <si>
    <t>Pemda BolMong/Dispar Bol-Mong</t>
  </si>
  <si>
    <t xml:space="preserve">PAD </t>
  </si>
  <si>
    <t>Pantai Indah Maelang</t>
  </si>
  <si>
    <t>Desa Maelang Kec.Sang Tombolang</t>
  </si>
  <si>
    <t>Pulau Tai'/Gogabola Maelang</t>
  </si>
  <si>
    <t>Pantai Sumpit Desa Bolangat</t>
  </si>
  <si>
    <t>Pemdes</t>
  </si>
  <si>
    <t>Desa Bolangat Sang Tombolang</t>
  </si>
  <si>
    <t>Pantai Fajar Indah Babo</t>
  </si>
  <si>
    <t>Ani Mirawan</t>
  </si>
  <si>
    <t>Desa Babo Kec.Sang Tombolang</t>
  </si>
  <si>
    <t>Menjadi pusat kawasan  pelaksanaan event tahunan ritual mandi safar</t>
  </si>
  <si>
    <t>Pantai BBC (Babo Beach) Desa Babo</t>
  </si>
  <si>
    <t>J. Dilapanga</t>
  </si>
  <si>
    <t>Pantai Nyiur Hijau Babo</t>
  </si>
  <si>
    <t>Yulpa</t>
  </si>
  <si>
    <t>Pantai Hidayah Babo</t>
  </si>
  <si>
    <t>Hidayati</t>
  </si>
  <si>
    <t>Pantai Nurmala Indah Babo</t>
  </si>
  <si>
    <t>Swandi Goniwada</t>
  </si>
  <si>
    <t>Pantai Babo Moonow</t>
  </si>
  <si>
    <t>Nahara Dilapanga</t>
  </si>
  <si>
    <t>Pantai Ayong</t>
  </si>
  <si>
    <t>Desa Ayong Kec.Sang Tombolang</t>
  </si>
  <si>
    <t>Lokasi Karapan sapi Sirkuit Lembah Sunyi</t>
  </si>
  <si>
    <t>Desa Ikhwan Kec.Dumoga Barat</t>
  </si>
  <si>
    <t>Kunjungan disaat pelaksanaan event Karapan Sapi yang dilaksanakan pasca lebaran Idul Fitri</t>
  </si>
  <si>
    <t>Objek Wisata Toraut Taman Nasional Bogani Nani Wartabone</t>
  </si>
  <si>
    <t>TNBW</t>
  </si>
  <si>
    <t>Desa Toraut Utara Kec.Dumoga Barat</t>
  </si>
  <si>
    <t>Gua Batu Berkamar</t>
  </si>
  <si>
    <t>Penangkaran Maleo Matayangan</t>
  </si>
  <si>
    <t>TN Bogani Nani Wartabone</t>
  </si>
  <si>
    <t>Desa Matayangan Kec.Dumoga Barat</t>
  </si>
  <si>
    <t>Kolam Air Panas Modomang/Kolam Y'hanget</t>
  </si>
  <si>
    <t>I Wayan Sukaryawan</t>
  </si>
  <si>
    <t>Desa Modomang Kec.Dumoga Timur</t>
  </si>
  <si>
    <t>Sanctuary Maleo Pinonobatuon/Tambun</t>
  </si>
  <si>
    <t>Desa Tambun  Kec.Dumoga Timur</t>
  </si>
  <si>
    <t>Asal WNA</t>
  </si>
  <si>
    <t>Singapure</t>
  </si>
  <si>
    <t>USA</t>
  </si>
  <si>
    <t>Sanctuary Maleo Pusian</t>
  </si>
  <si>
    <t>KLH</t>
  </si>
  <si>
    <t>Desa Pusian Kec.Dumoga Timur</t>
  </si>
  <si>
    <t xml:space="preserve">Belanda </t>
  </si>
  <si>
    <t>Inggris</t>
  </si>
  <si>
    <t>Lokasi Pemandian Calvelindo SwimiingPool Desa Dumoga II</t>
  </si>
  <si>
    <t>Adrian Oday</t>
  </si>
  <si>
    <t>Desa Dumoga II Kec.Dumoga Timur</t>
  </si>
  <si>
    <t>Wisata permandian</t>
  </si>
  <si>
    <t>HARMONI MANGGOPA</t>
  </si>
  <si>
    <t>Wisata Kebun Jati Gelebug Chandra</t>
  </si>
  <si>
    <t>Gelebug Chandra</t>
  </si>
  <si>
    <t>Mopugad Selatan Kec.Dumoga Utara</t>
  </si>
  <si>
    <t>Waduk Pindol</t>
  </si>
  <si>
    <t>Kementrian PUPR</t>
  </si>
  <si>
    <t>Desa Pindol Kecamatan Lolak</t>
  </si>
  <si>
    <t>Kawasan Mangrove Baturapa 2</t>
  </si>
  <si>
    <t>Baturapa 2 Kecamatan Lolak</t>
  </si>
  <si>
    <t>Kunjungan terbanyak disaat pelaksanaan event tulude</t>
  </si>
  <si>
    <t>ISMAIL DILAPANGA</t>
  </si>
  <si>
    <t>Motabang Kecamatan Lolak</t>
  </si>
  <si>
    <t>Pantai Pulau Molosing</t>
  </si>
  <si>
    <t>Rahmadina</t>
  </si>
  <si>
    <t>Desa Lolak Kec. Lolak</t>
  </si>
  <si>
    <t>Pantai Pondok Cinta</t>
  </si>
  <si>
    <t>HAMI DAMOGALAD</t>
  </si>
  <si>
    <t>IRWAN PAPUTUNGAN</t>
  </si>
  <si>
    <t>Pantai Lolak</t>
  </si>
  <si>
    <t>MULIYADI PAPUTUNGAN</t>
  </si>
  <si>
    <t>Wisata Pantai Lolak Indah</t>
  </si>
  <si>
    <t>Pantai Tanjung Ompu</t>
  </si>
  <si>
    <t>Desa Lalow Kec.Lolak</t>
  </si>
  <si>
    <t>Makam Bua Hotinimbang Manopo Sugeha</t>
  </si>
  <si>
    <t>`Pemdes</t>
  </si>
  <si>
    <t>Desa Langagon Kec.Bolaang</t>
  </si>
  <si>
    <t>Agrowisata Sawah Padi Bombanon</t>
  </si>
  <si>
    <t>Bombanon Kec.Lolayan</t>
  </si>
  <si>
    <t>Wisata Pemandian Air Panas Bakan</t>
  </si>
  <si>
    <t>Desa Bakan Kec.Lolayan</t>
  </si>
  <si>
    <t>Wahana Totabuan Blessing</t>
  </si>
  <si>
    <t>Manly Komaling Roring</t>
  </si>
  <si>
    <t>Tungoi 1 Kecamatan Lolayan</t>
  </si>
  <si>
    <t>Wisata Air Terjun 5 Dimensi Mengkang</t>
  </si>
  <si>
    <t>Desa Mengkang Kecamatan Lolayan</t>
  </si>
  <si>
    <t>Wisata Religi Kolipot</t>
  </si>
  <si>
    <t>Desa Mopait Kecamatan Lolayan</t>
  </si>
  <si>
    <t>Kunjungan pasca lebaran Idul Fitri</t>
  </si>
  <si>
    <t>Rumah Adat Monopi Ds Mengkang</t>
  </si>
  <si>
    <t>Agrowisata Buah Durian Desa Tungoi II</t>
  </si>
  <si>
    <t>pemdes</t>
  </si>
  <si>
    <t>Desa Tungoi II Kecamatan Lolayan</t>
  </si>
  <si>
    <t>Wisata Alam negeri di atas awan Desa Lolayan</t>
  </si>
  <si>
    <t>Desa Lolayan Kecamatan Lolayan</t>
  </si>
  <si>
    <t>Permandian Inuai PARK</t>
  </si>
  <si>
    <t>MARIYANTI KIYAIMOJO</t>
  </si>
  <si>
    <t>Desa Muntoi Kecamatan Passi Barat</t>
  </si>
  <si>
    <t>Wisata Air Terjun Muntoi</t>
  </si>
  <si>
    <t>Wisata Makam Nojodo Mokoginta</t>
  </si>
  <si>
    <t>Desa Bulud Kecamatan Passi Barat</t>
  </si>
  <si>
    <t>Wisata Makam Sainun Mokodompit</t>
  </si>
  <si>
    <t>Wisata Kuburan Bogani Desa passi II</t>
  </si>
  <si>
    <t>Desa Passi II Kecamatan Passi Barat</t>
  </si>
  <si>
    <t>Wisata Makam Panggulu Passi Lomotu - Mokoginta Desa Passi</t>
  </si>
  <si>
    <t>Desa Passi Kecamatan Passi Barat</t>
  </si>
  <si>
    <t>Wisata Budaya Tudu In Passi</t>
  </si>
  <si>
    <t>Agrowisata Kebun Buah Nenas Desa lobong</t>
  </si>
  <si>
    <t>Desa Lobong Kecamatan Passi Barat</t>
  </si>
  <si>
    <t>Pantai Wisata Nonapan Baru</t>
  </si>
  <si>
    <t>Desa Nonapan Baru Kecamatan Poigar</t>
  </si>
  <si>
    <t>Agrowisata (Kebun Hortikultura) Desa Insil</t>
  </si>
  <si>
    <t>Desa Insil Kecamatan Passi Timur</t>
  </si>
  <si>
    <t>Agrowisata (Kebun Hortikultura)  Desa Sinsingon</t>
  </si>
  <si>
    <t>Desa Sinsingon Kecamatan Passi Timur</t>
  </si>
  <si>
    <t>Wisata Swimming pool mobuya</t>
  </si>
  <si>
    <t>Desa Mobuya Kecamatan Passi Timur</t>
  </si>
  <si>
    <t>Desa Lolan Kecamatan Bolaang Timur</t>
  </si>
  <si>
    <t>Air terjun Baki  Lolan 2</t>
  </si>
  <si>
    <t>Desa Lolan2  Kecamatan Bolaang Timur</t>
  </si>
  <si>
    <t>Makam Raja Abraham</t>
  </si>
  <si>
    <t>Desa Bolaang 1 Kecamatan Bolaang Timur</t>
  </si>
  <si>
    <t>Wisata Religi Motayok</t>
  </si>
  <si>
    <t>Desa Bilalang IV Kec.Bilalang</t>
  </si>
  <si>
    <t>Kunjungan  ritual dimana masyarakat membutuhkan bantuan roh leluhur untuk menyembuhkan orang yang sakit</t>
  </si>
  <si>
    <t>Wisata Gunung Kramat Bumbungon</t>
  </si>
  <si>
    <t>Desa Bumbungon Kecmatan Dumoga</t>
  </si>
  <si>
    <t>Wisata Sungai Lembah Indah</t>
  </si>
  <si>
    <t>Balai sungai</t>
  </si>
  <si>
    <t>Desa Konarom Kec.Dumoga Tenggara</t>
  </si>
  <si>
    <t>Lolak,        Januari 2024</t>
  </si>
  <si>
    <t>Mengetahui,</t>
  </si>
  <si>
    <t>Kepala Dinas Pariwisata dan Kebudayaan</t>
  </si>
  <si>
    <t>Kabupaten Bolaang Mongondow</t>
  </si>
  <si>
    <t>Remon Yidala Ratoe, SP, MM</t>
  </si>
  <si>
    <t>Pembina Tingkat I</t>
  </si>
  <si>
    <t>Nip. 19660808 200212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</si>
</sst>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 x14ac:knownFonts="1">
    <font>
      <sz val="10"/>
      <color rgb="FF000000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Arial Black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Arial Black"/>
      <family val="2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Agency FB"/>
      <family val="2"/>
    </font>
    <font>
      <b/>
      <sz val="12"/>
      <color theme="1" tint="4.9989318521683403E-2"/>
      <name val="Agency FB"/>
      <family val="2"/>
    </font>
    <font>
      <b/>
      <sz val="12"/>
      <color theme="1"/>
      <name val="Agency FB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4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1" xfId="0" quotePrefix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" xfId="0" quotePrefix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quotePrefix="1" applyFont="1" applyBorder="1" applyAlignment="1">
      <alignment horizontal="center" vertical="center"/>
    </xf>
    <xf numFmtId="0" fontId="0" fillId="0" borderId="5" xfId="0" applyBorder="1"/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0" fillId="0" borderId="15" xfId="0" applyBorder="1"/>
    <xf numFmtId="0" fontId="8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horizontal="center"/>
    </xf>
    <xf numFmtId="0" fontId="6" fillId="0" borderId="0" xfId="0" applyFont="1"/>
    <xf numFmtId="0" fontId="11" fillId="0" borderId="16" xfId="0" applyFont="1" applyBorder="1" applyAlignment="1">
      <alignment horizontal="center" vertical="center"/>
    </xf>
    <xf numFmtId="0" fontId="9" fillId="0" borderId="11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1" xfId="0" applyFont="1" applyBorder="1"/>
    <xf numFmtId="0" fontId="9" fillId="0" borderId="15" xfId="0" applyFont="1" applyBorder="1"/>
    <xf numFmtId="0" fontId="9" fillId="0" borderId="15" xfId="0" applyFont="1" applyBorder="1" applyAlignment="1">
      <alignment horizontal="left" vertical="top" wrapText="1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17" fontId="18" fillId="4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7" fontId="18" fillId="5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43" fontId="0" fillId="0" borderId="0" xfId="1" applyFont="1"/>
    <xf numFmtId="17" fontId="18" fillId="4" borderId="11" xfId="0" applyNumberFormat="1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17" fontId="18" fillId="5" borderId="11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43" fontId="0" fillId="0" borderId="0" xfId="0" applyNumberFormat="1"/>
    <xf numFmtId="0" fontId="0" fillId="0" borderId="18" xfId="0" applyBorder="1" applyAlignment="1">
      <alignment horizontal="center" vertical="center"/>
    </xf>
    <xf numFmtId="0" fontId="19" fillId="0" borderId="19" xfId="0" applyFont="1" applyBorder="1" applyAlignment="1">
      <alignment horizontal="left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20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19" fillId="0" borderId="23" xfId="0" applyFont="1" applyBorder="1" applyAlignment="1">
      <alignment horizontal="left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24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/>
    </xf>
    <xf numFmtId="0" fontId="19" fillId="7" borderId="19" xfId="0" applyFont="1" applyFill="1" applyBorder="1" applyAlignment="1">
      <alignment horizontal="left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 wrapText="1"/>
    </xf>
    <xf numFmtId="0" fontId="0" fillId="7" borderId="22" xfId="0" applyFill="1" applyBorder="1" applyAlignment="1">
      <alignment horizontal="center" vertical="center"/>
    </xf>
    <xf numFmtId="0" fontId="19" fillId="7" borderId="23" xfId="0" applyFont="1" applyFill="1" applyBorder="1" applyAlignment="1">
      <alignment horizontal="left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22" fillId="0" borderId="0" xfId="0" applyFont="1"/>
    <xf numFmtId="0" fontId="21" fillId="0" borderId="23" xfId="0" applyFont="1" applyBorder="1" applyAlignment="1">
      <alignment horizontal="left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6" borderId="17" xfId="0" applyFont="1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left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24" fillId="6" borderId="30" xfId="0" applyFont="1" applyFill="1" applyBorder="1" applyAlignment="1">
      <alignment horizontal="center" vertical="top"/>
    </xf>
    <xf numFmtId="0" fontId="1" fillId="6" borderId="31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" fillId="6" borderId="32" xfId="0" applyFont="1" applyFill="1" applyBorder="1" applyAlignment="1">
      <alignment horizontal="center" vertical="center" wrapText="1"/>
    </xf>
    <xf numFmtId="0" fontId="24" fillId="6" borderId="23" xfId="0" applyFont="1" applyFill="1" applyBorder="1" applyAlignment="1">
      <alignment horizontal="center" vertical="top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5" fillId="4" borderId="35" xfId="1" applyNumberFormat="1" applyFont="1" applyFill="1" applyBorder="1" applyAlignment="1">
      <alignment horizontal="center" vertical="center"/>
    </xf>
    <xf numFmtId="164" fontId="25" fillId="4" borderId="2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3" fillId="4" borderId="37" xfId="1" applyNumberFormat="1" applyFont="1" applyFill="1" applyBorder="1" applyAlignment="1">
      <alignment horizontal="center" vertical="center"/>
    </xf>
    <xf numFmtId="164" fontId="3" fillId="4" borderId="24" xfId="1" applyNumberFormat="1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1" xfId="0" applyBorder="1"/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15876</xdr:rowOff>
    </xdr:from>
    <xdr:to>
      <xdr:col>3</xdr:col>
      <xdr:colOff>47625</xdr:colOff>
      <xdr:row>3</xdr:row>
      <xdr:rowOff>177799</xdr:rowOff>
    </xdr:to>
    <xdr:pic>
      <xdr:nvPicPr>
        <xdr:cNvPr id="2" name="Picture 1" descr="201px-Lambang_Kabupaten_Bolaang_Mongondow.png">
          <a:extLst>
            <a:ext uri="{FF2B5EF4-FFF2-40B4-BE49-F238E27FC236}">
              <a16:creationId xmlns:a16="http://schemas.microsoft.com/office/drawing/2014/main" id="{5FC7E23F-0F0D-4D30-9B38-94F3D947A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15876"/>
          <a:ext cx="981075" cy="815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133351</xdr:rowOff>
    </xdr:from>
    <xdr:to>
      <xdr:col>1</xdr:col>
      <xdr:colOff>742951</xdr:colOff>
      <xdr:row>4</xdr:row>
      <xdr:rowOff>57151</xdr:rowOff>
    </xdr:to>
    <xdr:pic>
      <xdr:nvPicPr>
        <xdr:cNvPr id="2" name="Picture 1" descr="201px-Lambang_Kabupaten_Bolaang_Mongondow.png">
          <a:extLst>
            <a:ext uri="{FF2B5EF4-FFF2-40B4-BE49-F238E27FC236}">
              <a16:creationId xmlns:a16="http://schemas.microsoft.com/office/drawing/2014/main" id="{94E70141-7D49-4362-846F-EEE2D756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1" y="133351"/>
          <a:ext cx="74295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657225</xdr:colOff>
      <xdr:row>6</xdr:row>
      <xdr:rowOff>31750</xdr:rowOff>
    </xdr:to>
    <xdr:pic>
      <xdr:nvPicPr>
        <xdr:cNvPr id="2" name="Picture 1" descr="201px-Lambang_Kabupaten_Bolaang_Mongondow.png">
          <a:extLst>
            <a:ext uri="{FF2B5EF4-FFF2-40B4-BE49-F238E27FC236}">
              <a16:creationId xmlns:a16="http://schemas.microsoft.com/office/drawing/2014/main" id="{9E438B40-1CF8-4D71-A88B-FD1ABAECE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1"/>
          <a:ext cx="857250" cy="98424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5</xdr:row>
      <xdr:rowOff>41275</xdr:rowOff>
    </xdr:from>
    <xdr:to>
      <xdr:col>19</xdr:col>
      <xdr:colOff>0</xdr:colOff>
      <xdr:row>5</xdr:row>
      <xdr:rowOff>50800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CE5393F-E63D-4BE4-A876-CB5D08999AD9}"/>
            </a:ext>
          </a:extLst>
        </xdr:cNvPr>
        <xdr:cNvCxnSpPr/>
      </xdr:nvCxnSpPr>
      <xdr:spPr>
        <a:xfrm>
          <a:off x="66675" y="1209675"/>
          <a:ext cx="15528925" cy="95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FE19E-CCD6-4A0A-B5D5-BB537C25CFB8}">
  <dimension ref="A1:AI31"/>
  <sheetViews>
    <sheetView tabSelected="1" topLeftCell="A9" workbookViewId="0">
      <selection activeCell="AC22" sqref="AC22"/>
    </sheetView>
  </sheetViews>
  <sheetFormatPr defaultRowHeight="13" x14ac:dyDescent="0.3"/>
  <cols>
    <col min="1" max="1" width="2.19921875" customWidth="1"/>
    <col min="2" max="2" width="3.296875" customWidth="1"/>
    <col min="3" max="3" width="14.09765625" customWidth="1"/>
    <col min="4" max="4" width="16.296875" customWidth="1"/>
    <col min="5" max="5" width="5" customWidth="1"/>
    <col min="6" max="6" width="6.09765625" customWidth="1"/>
    <col min="7" max="7" width="5.19921875" customWidth="1"/>
    <col min="8" max="8" width="5.796875" customWidth="1"/>
    <col min="9" max="9" width="5" customWidth="1"/>
    <col min="10" max="10" width="6.09765625" customWidth="1"/>
    <col min="11" max="11" width="4.3984375" customWidth="1"/>
    <col min="12" max="13" width="5.19921875" customWidth="1"/>
    <col min="14" max="14" width="5.69921875" customWidth="1"/>
    <col min="15" max="15" width="4.69921875" customWidth="1"/>
    <col min="16" max="16" width="5.5" customWidth="1"/>
    <col min="17" max="17" width="4.8984375" customWidth="1"/>
    <col min="18" max="18" width="4.59765625" customWidth="1"/>
    <col min="19" max="19" width="4.8984375" customWidth="1"/>
    <col min="20" max="20" width="5.296875" customWidth="1"/>
    <col min="21" max="21" width="4.59765625" customWidth="1"/>
    <col min="22" max="22" width="5.5" customWidth="1"/>
    <col min="23" max="23" width="4.8984375" customWidth="1"/>
    <col min="24" max="24" width="5.69921875" customWidth="1"/>
    <col min="25" max="25" width="5.296875" customWidth="1"/>
    <col min="26" max="26" width="5.5" customWidth="1"/>
    <col min="27" max="27" width="4.69921875" customWidth="1"/>
    <col min="28" max="28" width="5" customWidth="1"/>
    <col min="29" max="29" width="8.19921875" customWidth="1"/>
    <col min="30" max="30" width="7.3984375" customWidth="1"/>
    <col min="37" max="37" width="13.19921875" bestFit="1" customWidth="1"/>
  </cols>
  <sheetData>
    <row r="1" spans="1:32" ht="18" x14ac:dyDescent="0.5">
      <c r="A1" s="2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ht="18" x14ac:dyDescent="0.5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ht="15.5" x14ac:dyDescent="0.35">
      <c r="A3" s="3" t="s">
        <v>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2" ht="17" x14ac:dyDescent="0.3"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ht="17.5" thickBot="1" x14ac:dyDescent="0.35"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</row>
    <row r="6" spans="1:32" x14ac:dyDescent="0.3">
      <c r="B6" s="5" t="s">
        <v>5</v>
      </c>
      <c r="C6" s="6" t="s">
        <v>6</v>
      </c>
      <c r="D6" s="7" t="s">
        <v>7</v>
      </c>
      <c r="E6" s="7" t="s">
        <v>8</v>
      </c>
      <c r="F6" s="8"/>
      <c r="G6" s="7" t="s">
        <v>9</v>
      </c>
      <c r="H6" s="8"/>
      <c r="I6" s="7" t="s">
        <v>10</v>
      </c>
      <c r="J6" s="8"/>
      <c r="K6" s="7" t="s">
        <v>11</v>
      </c>
      <c r="L6" s="8"/>
      <c r="M6" s="7" t="s">
        <v>12</v>
      </c>
      <c r="N6" s="8"/>
      <c r="O6" s="7" t="s">
        <v>13</v>
      </c>
      <c r="P6" s="8"/>
      <c r="Q6" s="7" t="s">
        <v>14</v>
      </c>
      <c r="R6" s="8"/>
      <c r="S6" s="7" t="s">
        <v>15</v>
      </c>
      <c r="T6" s="8"/>
      <c r="U6" s="7" t="s">
        <v>16</v>
      </c>
      <c r="V6" s="8"/>
      <c r="W6" s="7" t="s">
        <v>17</v>
      </c>
      <c r="X6" s="8"/>
      <c r="Y6" s="7" t="s">
        <v>18</v>
      </c>
      <c r="Z6" s="8"/>
      <c r="AA6" s="7" t="s">
        <v>19</v>
      </c>
      <c r="AB6" s="8"/>
      <c r="AC6" s="5" t="s">
        <v>20</v>
      </c>
      <c r="AD6" s="5" t="s">
        <v>21</v>
      </c>
    </row>
    <row r="7" spans="1:32" x14ac:dyDescent="0.3">
      <c r="B7" s="9"/>
      <c r="C7" s="10" t="s">
        <v>22</v>
      </c>
      <c r="D7" s="11"/>
      <c r="E7" s="12">
        <v>2020</v>
      </c>
      <c r="F7" s="13"/>
      <c r="G7" s="12">
        <v>2020</v>
      </c>
      <c r="H7" s="13"/>
      <c r="I7" s="12">
        <v>2020</v>
      </c>
      <c r="J7" s="13"/>
      <c r="K7" s="12">
        <v>2020</v>
      </c>
      <c r="L7" s="13"/>
      <c r="M7" s="12">
        <v>2020</v>
      </c>
      <c r="N7" s="13"/>
      <c r="O7" s="12">
        <v>2020</v>
      </c>
      <c r="P7" s="13"/>
      <c r="Q7" s="12">
        <v>2020</v>
      </c>
      <c r="R7" s="13"/>
      <c r="S7" s="12">
        <v>2020</v>
      </c>
      <c r="T7" s="13"/>
      <c r="U7" s="12">
        <v>2020</v>
      </c>
      <c r="V7" s="13"/>
      <c r="W7" s="12">
        <v>2020</v>
      </c>
      <c r="X7" s="13"/>
      <c r="Y7" s="12">
        <v>2020</v>
      </c>
      <c r="Z7" s="13"/>
      <c r="AA7" s="12">
        <v>2020</v>
      </c>
      <c r="AB7" s="13"/>
      <c r="AC7" s="9"/>
      <c r="AD7" s="9"/>
    </row>
    <row r="8" spans="1:32" x14ac:dyDescent="0.3">
      <c r="B8" s="9"/>
      <c r="C8" s="10" t="s">
        <v>23</v>
      </c>
      <c r="D8" s="11"/>
      <c r="E8" s="14" t="s">
        <v>24</v>
      </c>
      <c r="F8" s="15" t="s">
        <v>25</v>
      </c>
      <c r="G8" s="16" t="s">
        <v>26</v>
      </c>
      <c r="H8" s="16" t="s">
        <v>25</v>
      </c>
      <c r="I8" s="16" t="s">
        <v>26</v>
      </c>
      <c r="J8" s="10" t="s">
        <v>25</v>
      </c>
      <c r="K8" s="10" t="s">
        <v>26</v>
      </c>
      <c r="L8" s="10" t="s">
        <v>25</v>
      </c>
      <c r="M8" s="10" t="s">
        <v>26</v>
      </c>
      <c r="N8" s="10" t="s">
        <v>25</v>
      </c>
      <c r="O8" s="10" t="s">
        <v>26</v>
      </c>
      <c r="P8" s="10" t="s">
        <v>25</v>
      </c>
      <c r="Q8" s="10" t="s">
        <v>26</v>
      </c>
      <c r="R8" s="10" t="s">
        <v>25</v>
      </c>
      <c r="S8" s="10" t="s">
        <v>26</v>
      </c>
      <c r="T8" s="10" t="s">
        <v>25</v>
      </c>
      <c r="U8" s="10" t="s">
        <v>26</v>
      </c>
      <c r="V8" s="10" t="s">
        <v>25</v>
      </c>
      <c r="W8" s="10" t="s">
        <v>26</v>
      </c>
      <c r="X8" s="10" t="s">
        <v>25</v>
      </c>
      <c r="Y8" s="10" t="s">
        <v>26</v>
      </c>
      <c r="Z8" s="10" t="s">
        <v>25</v>
      </c>
      <c r="AA8" s="10" t="s">
        <v>26</v>
      </c>
      <c r="AB8" s="10" t="s">
        <v>25</v>
      </c>
      <c r="AC8" s="9"/>
      <c r="AD8" s="9"/>
    </row>
    <row r="9" spans="1:32" x14ac:dyDescent="0.3">
      <c r="B9" s="17" t="s">
        <v>27</v>
      </c>
      <c r="C9" s="18" t="s">
        <v>28</v>
      </c>
      <c r="D9" s="19" t="s">
        <v>29</v>
      </c>
      <c r="E9" s="20" t="s">
        <v>30</v>
      </c>
      <c r="F9" s="17">
        <v>3097</v>
      </c>
      <c r="G9" s="20" t="s">
        <v>30</v>
      </c>
      <c r="H9" s="17">
        <v>2275</v>
      </c>
      <c r="I9" s="20" t="s">
        <v>30</v>
      </c>
      <c r="J9" s="17">
        <v>1450</v>
      </c>
      <c r="K9" s="20" t="s">
        <v>30</v>
      </c>
      <c r="L9" s="17">
        <v>1450</v>
      </c>
      <c r="M9" s="20" t="s">
        <v>30</v>
      </c>
      <c r="N9" s="20" t="s">
        <v>30</v>
      </c>
      <c r="O9" s="20" t="s">
        <v>30</v>
      </c>
      <c r="P9" s="17">
        <v>1250</v>
      </c>
      <c r="Q9" s="20" t="s">
        <v>30</v>
      </c>
      <c r="R9" s="17">
        <v>1350</v>
      </c>
      <c r="S9" s="20" t="s">
        <v>30</v>
      </c>
      <c r="T9" s="17">
        <v>1430</v>
      </c>
      <c r="U9" s="20" t="s">
        <v>30</v>
      </c>
      <c r="V9" s="17">
        <v>1275</v>
      </c>
      <c r="W9" s="20" t="s">
        <v>30</v>
      </c>
      <c r="X9" s="17">
        <v>980</v>
      </c>
      <c r="Y9" s="20" t="s">
        <v>30</v>
      </c>
      <c r="Z9" s="17">
        <v>538</v>
      </c>
      <c r="AA9" s="20" t="s">
        <v>30</v>
      </c>
      <c r="AB9" s="17">
        <v>580</v>
      </c>
      <c r="AC9" s="21">
        <f t="shared" ref="AC9:AC14" si="0">SUM(AB9+Z9+X9+V9+T9+R9+P9+L9+J9+H9+F9)</f>
        <v>15675</v>
      </c>
      <c r="AD9" s="22"/>
      <c r="AE9" s="23"/>
      <c r="AF9" s="24"/>
    </row>
    <row r="10" spans="1:32" x14ac:dyDescent="0.3">
      <c r="B10" s="25" t="s">
        <v>31</v>
      </c>
      <c r="C10" s="26" t="s">
        <v>32</v>
      </c>
      <c r="D10" s="27" t="s">
        <v>29</v>
      </c>
      <c r="E10" s="28" t="s">
        <v>30</v>
      </c>
      <c r="F10" s="25">
        <v>5450</v>
      </c>
      <c r="G10" s="28" t="s">
        <v>30</v>
      </c>
      <c r="H10" s="25">
        <v>4337</v>
      </c>
      <c r="I10" s="28" t="s">
        <v>30</v>
      </c>
      <c r="J10" s="25">
        <v>1500</v>
      </c>
      <c r="K10" s="28" t="s">
        <v>30</v>
      </c>
      <c r="L10" s="25">
        <v>995</v>
      </c>
      <c r="M10" s="28" t="s">
        <v>30</v>
      </c>
      <c r="N10" s="25" t="s">
        <v>30</v>
      </c>
      <c r="O10" s="28" t="s">
        <v>30</v>
      </c>
      <c r="P10" s="25">
        <v>650</v>
      </c>
      <c r="Q10" s="28" t="s">
        <v>30</v>
      </c>
      <c r="R10" s="25">
        <v>250</v>
      </c>
      <c r="S10" s="28" t="s">
        <v>30</v>
      </c>
      <c r="T10" s="25">
        <v>118</v>
      </c>
      <c r="U10" s="28" t="s">
        <v>30</v>
      </c>
      <c r="V10" s="25">
        <v>200</v>
      </c>
      <c r="W10" s="28" t="s">
        <v>30</v>
      </c>
      <c r="X10" s="25">
        <v>145</v>
      </c>
      <c r="Y10" s="28" t="s">
        <v>30</v>
      </c>
      <c r="Z10" s="25">
        <v>200</v>
      </c>
      <c r="AA10" s="28" t="s">
        <v>30</v>
      </c>
      <c r="AB10" s="25">
        <v>231</v>
      </c>
      <c r="AC10" s="15">
        <f t="shared" si="0"/>
        <v>14076</v>
      </c>
      <c r="AD10" s="1"/>
      <c r="AE10" s="29"/>
    </row>
    <row r="11" spans="1:32" x14ac:dyDescent="0.3">
      <c r="B11" s="25" t="s">
        <v>33</v>
      </c>
      <c r="C11" s="26" t="s">
        <v>34</v>
      </c>
      <c r="D11" s="27" t="s">
        <v>35</v>
      </c>
      <c r="E11" s="28" t="s">
        <v>30</v>
      </c>
      <c r="F11" s="25">
        <v>2350</v>
      </c>
      <c r="G11" s="28" t="s">
        <v>30</v>
      </c>
      <c r="H11" s="25">
        <v>1875</v>
      </c>
      <c r="I11" s="28" t="s">
        <v>30</v>
      </c>
      <c r="J11" s="25">
        <v>1550</v>
      </c>
      <c r="K11" s="28" t="s">
        <v>30</v>
      </c>
      <c r="L11" s="25">
        <v>950</v>
      </c>
      <c r="M11" s="28" t="s">
        <v>30</v>
      </c>
      <c r="N11" s="25" t="s">
        <v>30</v>
      </c>
      <c r="O11" s="28" t="s">
        <v>30</v>
      </c>
      <c r="P11" s="25">
        <v>850</v>
      </c>
      <c r="Q11" s="28" t="s">
        <v>30</v>
      </c>
      <c r="R11" s="25">
        <v>550</v>
      </c>
      <c r="S11" s="28" t="s">
        <v>30</v>
      </c>
      <c r="T11" s="25">
        <v>670</v>
      </c>
      <c r="U11" s="28" t="s">
        <v>30</v>
      </c>
      <c r="V11" s="25">
        <v>410</v>
      </c>
      <c r="W11" s="28" t="s">
        <v>30</v>
      </c>
      <c r="X11" s="25">
        <v>120</v>
      </c>
      <c r="Y11" s="28" t="s">
        <v>30</v>
      </c>
      <c r="Z11" s="25">
        <v>750</v>
      </c>
      <c r="AA11" s="28" t="s">
        <v>30</v>
      </c>
      <c r="AB11" s="25">
        <v>875</v>
      </c>
      <c r="AC11" s="15">
        <f t="shared" si="0"/>
        <v>10950</v>
      </c>
      <c r="AD11" s="1"/>
      <c r="AE11" s="23"/>
      <c r="AF11" s="24"/>
    </row>
    <row r="12" spans="1:32" x14ac:dyDescent="0.3">
      <c r="B12" s="25" t="s">
        <v>36</v>
      </c>
      <c r="C12" s="26" t="s">
        <v>37</v>
      </c>
      <c r="D12" s="27" t="s">
        <v>35</v>
      </c>
      <c r="E12" s="28" t="s">
        <v>30</v>
      </c>
      <c r="F12" s="25">
        <v>1950</v>
      </c>
      <c r="G12" s="28" t="s">
        <v>30</v>
      </c>
      <c r="H12" s="25">
        <v>1550</v>
      </c>
      <c r="I12" s="28" t="s">
        <v>30</v>
      </c>
      <c r="J12" s="25">
        <v>1250</v>
      </c>
      <c r="K12" s="28" t="s">
        <v>30</v>
      </c>
      <c r="L12" s="25">
        <v>985</v>
      </c>
      <c r="M12" s="28" t="s">
        <v>30</v>
      </c>
      <c r="N12" s="25" t="s">
        <v>30</v>
      </c>
      <c r="O12" s="28" t="s">
        <v>30</v>
      </c>
      <c r="P12" s="25">
        <v>875</v>
      </c>
      <c r="Q12" s="28" t="s">
        <v>30</v>
      </c>
      <c r="R12" s="25">
        <v>387</v>
      </c>
      <c r="S12" s="28" t="s">
        <v>30</v>
      </c>
      <c r="T12" s="25">
        <v>465</v>
      </c>
      <c r="U12" s="28" t="s">
        <v>30</v>
      </c>
      <c r="V12" s="25">
        <v>270</v>
      </c>
      <c r="W12" s="28" t="s">
        <v>30</v>
      </c>
      <c r="X12" s="25">
        <v>350</v>
      </c>
      <c r="Y12" s="28" t="s">
        <v>30</v>
      </c>
      <c r="Z12" s="25">
        <v>732</v>
      </c>
      <c r="AA12" s="28" t="s">
        <v>30</v>
      </c>
      <c r="AB12" s="25">
        <v>736</v>
      </c>
      <c r="AC12" s="15">
        <f t="shared" si="0"/>
        <v>9550</v>
      </c>
      <c r="AD12" s="1"/>
      <c r="AE12" s="23"/>
      <c r="AF12" s="24"/>
    </row>
    <row r="13" spans="1:32" x14ac:dyDescent="0.3">
      <c r="B13" s="30" t="s">
        <v>38</v>
      </c>
      <c r="C13" s="31" t="s">
        <v>39</v>
      </c>
      <c r="D13" s="32" t="s">
        <v>40</v>
      </c>
      <c r="E13" s="33" t="s">
        <v>30</v>
      </c>
      <c r="F13" s="30">
        <v>2726</v>
      </c>
      <c r="G13" s="33" t="s">
        <v>30</v>
      </c>
      <c r="H13" s="30">
        <v>2015</v>
      </c>
      <c r="I13" s="33" t="s">
        <v>30</v>
      </c>
      <c r="J13" s="30">
        <v>1300</v>
      </c>
      <c r="K13" s="33" t="s">
        <v>30</v>
      </c>
      <c r="L13" s="30">
        <v>850</v>
      </c>
      <c r="M13" s="33" t="s">
        <v>30</v>
      </c>
      <c r="N13" s="30" t="s">
        <v>30</v>
      </c>
      <c r="O13" s="33" t="s">
        <v>30</v>
      </c>
      <c r="P13" s="30">
        <v>754</v>
      </c>
      <c r="Q13" s="33" t="s">
        <v>30</v>
      </c>
      <c r="R13" s="30">
        <v>354</v>
      </c>
      <c r="S13" s="33" t="s">
        <v>30</v>
      </c>
      <c r="T13" s="30">
        <v>545</v>
      </c>
      <c r="U13" s="33" t="s">
        <v>30</v>
      </c>
      <c r="V13" s="30">
        <v>466</v>
      </c>
      <c r="W13" s="33" t="s">
        <v>30</v>
      </c>
      <c r="X13" s="30">
        <v>350</v>
      </c>
      <c r="Y13" s="33" t="s">
        <v>30</v>
      </c>
      <c r="Z13" s="30">
        <v>400</v>
      </c>
      <c r="AA13" s="33" t="s">
        <v>30</v>
      </c>
      <c r="AB13" s="30">
        <v>275</v>
      </c>
      <c r="AC13" s="10">
        <f t="shared" si="0"/>
        <v>10035</v>
      </c>
      <c r="AD13" s="34"/>
      <c r="AE13" s="29"/>
      <c r="AF13" s="24"/>
    </row>
    <row r="14" spans="1:32" x14ac:dyDescent="0.3">
      <c r="B14" s="25" t="s">
        <v>41</v>
      </c>
      <c r="C14" s="26" t="s">
        <v>42</v>
      </c>
      <c r="D14" s="27" t="s">
        <v>43</v>
      </c>
      <c r="E14" s="28" t="s">
        <v>30</v>
      </c>
      <c r="F14" s="25">
        <v>2936</v>
      </c>
      <c r="G14" s="28" t="s">
        <v>30</v>
      </c>
      <c r="H14" s="25">
        <v>1815</v>
      </c>
      <c r="I14" s="28" t="s">
        <v>30</v>
      </c>
      <c r="J14" s="25">
        <v>1250</v>
      </c>
      <c r="K14" s="28" t="s">
        <v>30</v>
      </c>
      <c r="L14" s="25">
        <v>650</v>
      </c>
      <c r="M14" s="28" t="s">
        <v>30</v>
      </c>
      <c r="N14" s="25" t="s">
        <v>30</v>
      </c>
      <c r="O14" s="28" t="s">
        <v>30</v>
      </c>
      <c r="P14" s="25">
        <v>650</v>
      </c>
      <c r="Q14" s="28" t="s">
        <v>30</v>
      </c>
      <c r="R14" s="25">
        <v>547</v>
      </c>
      <c r="S14" s="28" t="s">
        <v>30</v>
      </c>
      <c r="T14" s="25">
        <v>475</v>
      </c>
      <c r="U14" s="28" t="s">
        <v>30</v>
      </c>
      <c r="V14" s="25">
        <v>415</v>
      </c>
      <c r="W14" s="28" t="s">
        <v>30</v>
      </c>
      <c r="X14" s="25">
        <v>465</v>
      </c>
      <c r="Y14" s="28" t="s">
        <v>30</v>
      </c>
      <c r="Z14" s="25">
        <v>450</v>
      </c>
      <c r="AA14" s="28" t="s">
        <v>30</v>
      </c>
      <c r="AB14" s="25">
        <v>775</v>
      </c>
      <c r="AC14" s="15">
        <f t="shared" si="0"/>
        <v>10428</v>
      </c>
      <c r="AD14" s="1"/>
      <c r="AE14" s="23"/>
      <c r="AF14" s="24"/>
    </row>
    <row r="15" spans="1:32" x14ac:dyDescent="0.3">
      <c r="B15" s="30"/>
      <c r="C15" s="31" t="s">
        <v>44</v>
      </c>
      <c r="D15" s="32" t="s">
        <v>45</v>
      </c>
      <c r="E15" s="33"/>
      <c r="F15" s="31"/>
      <c r="G15" s="33"/>
      <c r="H15" s="31"/>
      <c r="I15" s="33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4"/>
    </row>
    <row r="16" spans="1:32" x14ac:dyDescent="0.3">
      <c r="B16" s="25" t="s">
        <v>46</v>
      </c>
      <c r="C16" s="26" t="s">
        <v>47</v>
      </c>
      <c r="D16" s="35" t="s">
        <v>48</v>
      </c>
      <c r="E16" s="28" t="s">
        <v>30</v>
      </c>
      <c r="F16" s="36">
        <v>2896</v>
      </c>
      <c r="G16" s="28" t="s">
        <v>30</v>
      </c>
      <c r="H16" s="36">
        <v>2415</v>
      </c>
      <c r="I16" s="28" t="s">
        <v>30</v>
      </c>
      <c r="J16" s="25">
        <v>1975</v>
      </c>
      <c r="K16" s="28" t="s">
        <v>30</v>
      </c>
      <c r="L16" s="25">
        <v>800</v>
      </c>
      <c r="M16" s="28" t="s">
        <v>30</v>
      </c>
      <c r="N16" s="25" t="s">
        <v>30</v>
      </c>
      <c r="O16" s="28" t="s">
        <v>30</v>
      </c>
      <c r="P16" s="25">
        <v>249</v>
      </c>
      <c r="Q16" s="28" t="s">
        <v>30</v>
      </c>
      <c r="R16" s="25">
        <v>375</v>
      </c>
      <c r="S16" s="28" t="s">
        <v>30</v>
      </c>
      <c r="T16" s="25">
        <v>200</v>
      </c>
      <c r="U16" s="28" t="s">
        <v>30</v>
      </c>
      <c r="V16" s="25">
        <v>100</v>
      </c>
      <c r="W16" s="25"/>
      <c r="X16" s="25">
        <v>225</v>
      </c>
      <c r="Y16" s="28" t="s">
        <v>30</v>
      </c>
      <c r="Z16" s="25">
        <v>387</v>
      </c>
      <c r="AA16" s="25"/>
      <c r="AB16" s="25">
        <v>210</v>
      </c>
      <c r="AC16" s="15">
        <f>SUM(AB16+Z16+X16+V16+T16+R16+P16+L16+J16+H16+F16)</f>
        <v>9832</v>
      </c>
      <c r="AD16" s="1"/>
      <c r="AE16" s="23"/>
      <c r="AF16" s="24"/>
    </row>
    <row r="17" spans="2:35" x14ac:dyDescent="0.3">
      <c r="B17" s="30"/>
      <c r="C17" s="31"/>
      <c r="D17" s="37" t="s">
        <v>49</v>
      </c>
      <c r="E17" s="37"/>
      <c r="F17" s="37"/>
      <c r="G17" s="37"/>
      <c r="H17" s="37"/>
      <c r="I17" s="37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8"/>
      <c r="AD17" s="34"/>
    </row>
    <row r="18" spans="2:35" x14ac:dyDescent="0.3">
      <c r="B18" s="25" t="s">
        <v>50</v>
      </c>
      <c r="C18" s="26" t="s">
        <v>51</v>
      </c>
      <c r="D18" s="26" t="s">
        <v>52</v>
      </c>
      <c r="E18" s="28" t="s">
        <v>30</v>
      </c>
      <c r="F18" s="25">
        <v>6100</v>
      </c>
      <c r="G18" s="28" t="s">
        <v>30</v>
      </c>
      <c r="H18" s="25">
        <v>2000</v>
      </c>
      <c r="I18" s="28" t="s">
        <v>30</v>
      </c>
      <c r="J18" s="25">
        <v>900</v>
      </c>
      <c r="K18" s="28" t="s">
        <v>30</v>
      </c>
      <c r="L18" s="25" t="s">
        <v>30</v>
      </c>
      <c r="M18" s="28" t="s">
        <v>30</v>
      </c>
      <c r="N18" s="25" t="s">
        <v>30</v>
      </c>
      <c r="O18" s="28" t="s">
        <v>30</v>
      </c>
      <c r="P18" s="25" t="s">
        <v>30</v>
      </c>
      <c r="Q18" s="28" t="s">
        <v>30</v>
      </c>
      <c r="R18" s="25">
        <v>1100</v>
      </c>
      <c r="S18" s="28" t="s">
        <v>30</v>
      </c>
      <c r="T18" s="25">
        <v>1700</v>
      </c>
      <c r="U18" s="28" t="s">
        <v>30</v>
      </c>
      <c r="V18" s="25">
        <v>1400</v>
      </c>
      <c r="W18" s="25"/>
      <c r="X18" s="25">
        <v>1800</v>
      </c>
      <c r="Y18" s="28" t="s">
        <v>30</v>
      </c>
      <c r="Z18" s="25">
        <v>3000</v>
      </c>
      <c r="AA18" s="25"/>
      <c r="AB18" s="25">
        <v>1700</v>
      </c>
      <c r="AC18" s="39">
        <f>SUM(AB18+Z18+X18+V18+T18+R18+J18+H18+F18)</f>
        <v>19700</v>
      </c>
      <c r="AD18" s="1"/>
      <c r="AE18" s="29"/>
      <c r="AF18" s="24"/>
    </row>
    <row r="19" spans="2:35" x14ac:dyDescent="0.3">
      <c r="B19" s="30"/>
      <c r="C19" s="31" t="s">
        <v>53</v>
      </c>
      <c r="D19" s="31" t="s">
        <v>49</v>
      </c>
      <c r="E19" s="33"/>
      <c r="F19" s="31"/>
      <c r="G19" s="33"/>
      <c r="H19" s="31"/>
      <c r="I19" s="31"/>
      <c r="J19" s="40"/>
      <c r="K19" s="40"/>
      <c r="L19" s="40"/>
      <c r="M19" s="40"/>
      <c r="N19" s="30"/>
      <c r="O19" s="3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38"/>
      <c r="AD19" s="34"/>
    </row>
    <row r="20" spans="2:35" x14ac:dyDescent="0.3">
      <c r="B20" s="25" t="s">
        <v>54</v>
      </c>
      <c r="C20" s="26" t="s">
        <v>55</v>
      </c>
      <c r="D20" s="26" t="s">
        <v>56</v>
      </c>
      <c r="E20" s="28" t="s">
        <v>30</v>
      </c>
      <c r="F20" s="25" t="s">
        <v>30</v>
      </c>
      <c r="G20" s="28" t="s">
        <v>30</v>
      </c>
      <c r="H20" s="25">
        <v>1578</v>
      </c>
      <c r="I20" s="28" t="s">
        <v>30</v>
      </c>
      <c r="J20" s="25" t="s">
        <v>30</v>
      </c>
      <c r="K20" s="28" t="s">
        <v>30</v>
      </c>
      <c r="L20" s="25" t="s">
        <v>30</v>
      </c>
      <c r="M20" s="28" t="s">
        <v>30</v>
      </c>
      <c r="N20" s="25" t="s">
        <v>30</v>
      </c>
      <c r="O20" s="28" t="s">
        <v>30</v>
      </c>
      <c r="P20" s="25" t="s">
        <v>30</v>
      </c>
      <c r="Q20" s="28" t="s">
        <v>30</v>
      </c>
      <c r="R20" s="25">
        <v>21</v>
      </c>
      <c r="S20" s="28" t="s">
        <v>30</v>
      </c>
      <c r="T20" s="25">
        <v>26</v>
      </c>
      <c r="U20" s="28" t="s">
        <v>30</v>
      </c>
      <c r="V20" s="25">
        <v>167</v>
      </c>
      <c r="W20" s="28" t="s">
        <v>30</v>
      </c>
      <c r="X20" s="25">
        <v>72</v>
      </c>
      <c r="Y20" s="28" t="s">
        <v>30</v>
      </c>
      <c r="Z20" s="25">
        <v>206</v>
      </c>
      <c r="AA20" s="28" t="s">
        <v>30</v>
      </c>
      <c r="AB20" s="25">
        <v>122</v>
      </c>
      <c r="AC20" s="15">
        <f>SUM(AB20+Z20+X20+V20+T20+R20+H20)</f>
        <v>2192</v>
      </c>
      <c r="AD20" s="1"/>
      <c r="AE20" s="24"/>
      <c r="AF20" s="24"/>
    </row>
    <row r="21" spans="2:35" x14ac:dyDescent="0.3">
      <c r="B21" s="41" t="s">
        <v>57</v>
      </c>
      <c r="C21" s="42" t="s">
        <v>58</v>
      </c>
      <c r="D21" s="42" t="s">
        <v>59</v>
      </c>
      <c r="E21" s="33" t="s">
        <v>30</v>
      </c>
      <c r="F21" s="41">
        <v>5298</v>
      </c>
      <c r="G21" s="33" t="s">
        <v>30</v>
      </c>
      <c r="H21" s="41">
        <v>2196</v>
      </c>
      <c r="I21" s="33" t="s">
        <v>30</v>
      </c>
      <c r="J21" s="41">
        <v>1534</v>
      </c>
      <c r="K21" s="33" t="s">
        <v>30</v>
      </c>
      <c r="L21" s="41">
        <v>1130</v>
      </c>
      <c r="M21" s="33" t="s">
        <v>30</v>
      </c>
      <c r="N21" s="41" t="s">
        <v>30</v>
      </c>
      <c r="O21" s="33" t="s">
        <v>30</v>
      </c>
      <c r="P21" s="41">
        <v>530</v>
      </c>
      <c r="Q21" s="33" t="s">
        <v>30</v>
      </c>
      <c r="R21" s="41">
        <v>452</v>
      </c>
      <c r="S21" s="33" t="s">
        <v>30</v>
      </c>
      <c r="T21" s="41">
        <v>535</v>
      </c>
      <c r="U21" s="33" t="s">
        <v>30</v>
      </c>
      <c r="V21" s="41">
        <v>575</v>
      </c>
      <c r="W21" s="33" t="s">
        <v>30</v>
      </c>
      <c r="X21" s="41">
        <v>675</v>
      </c>
      <c r="Y21" s="33" t="s">
        <v>30</v>
      </c>
      <c r="Z21" s="41">
        <v>650</v>
      </c>
      <c r="AA21" s="33" t="s">
        <v>30</v>
      </c>
      <c r="AB21" s="41">
        <v>750</v>
      </c>
      <c r="AC21" s="43">
        <f>SUM(AB21+Z21+X21+V21+T21+R21+P21+L21+J21+H21+F21)</f>
        <v>14325</v>
      </c>
      <c r="AD21" s="44"/>
      <c r="AE21" s="23"/>
      <c r="AF21" s="24"/>
      <c r="AI21" s="15"/>
    </row>
    <row r="22" spans="2:35" x14ac:dyDescent="0.3">
      <c r="B22" s="25"/>
      <c r="C22" s="45" t="s">
        <v>20</v>
      </c>
      <c r="D22" s="26"/>
      <c r="E22" s="28" t="s">
        <v>30</v>
      </c>
      <c r="F22" s="25">
        <f>SUM(F21+F18+F16+F14+F13+F12+F11+F10+F9)</f>
        <v>32803</v>
      </c>
      <c r="G22" s="28" t="s">
        <v>30</v>
      </c>
      <c r="H22" s="25">
        <f>SUM(H21+H20+H18+H16+H14+H13+H12+H11+H10+H9)</f>
        <v>22056</v>
      </c>
      <c r="I22" s="28" t="s">
        <v>30</v>
      </c>
      <c r="J22" s="25">
        <f>SUM(J21+J18+J16+J14+J13+J12+J11+J10+J9)</f>
        <v>12709</v>
      </c>
      <c r="K22" s="28" t="s">
        <v>30</v>
      </c>
      <c r="L22" s="25">
        <f>SUM(L21+L16+L14+L13+L12+L11+L10+L9)</f>
        <v>7810</v>
      </c>
      <c r="M22" s="28" t="s">
        <v>30</v>
      </c>
      <c r="N22" s="25" t="s">
        <v>30</v>
      </c>
      <c r="O22" s="28" t="s">
        <v>30</v>
      </c>
      <c r="P22" s="25">
        <f>SUM(P21+P16+P14+P13+P12+P11+P10+P9)</f>
        <v>5808</v>
      </c>
      <c r="Q22" s="28" t="s">
        <v>30</v>
      </c>
      <c r="R22" s="25">
        <f>SUM(R21+R20+R18+R16+R14+R13+R12+R11+R10+R9)</f>
        <v>5386</v>
      </c>
      <c r="S22" s="28" t="s">
        <v>30</v>
      </c>
      <c r="T22" s="25">
        <f>SUM(T21+T20+T18+T16+T14+T13+T12+T11+T10+T9)</f>
        <v>6164</v>
      </c>
      <c r="U22" s="28" t="s">
        <v>30</v>
      </c>
      <c r="V22" s="25">
        <f>SUM(V21+V20+V18+V16+V14+V13+V12+V11+V10+V9)</f>
        <v>5278</v>
      </c>
      <c r="W22" s="28" t="s">
        <v>30</v>
      </c>
      <c r="X22" s="25">
        <f>SUM(X21+X20+X18+X16+X14+X13+X12+X11+X10+X9)</f>
        <v>5182</v>
      </c>
      <c r="Y22" s="28" t="s">
        <v>30</v>
      </c>
      <c r="Z22" s="25">
        <f>SUM(Z21+Z18+Z16+Z14+Z13+Z12+Z11+Z10+Z9)</f>
        <v>7107</v>
      </c>
      <c r="AA22" s="28" t="s">
        <v>30</v>
      </c>
      <c r="AB22" s="25">
        <f>SUM(AB21+AB20+AB18+AB16+AB14+AB13+AB12+AB11+AB10+AB9)</f>
        <v>6254</v>
      </c>
      <c r="AC22" s="15">
        <f>SUM(F22:AB22)</f>
        <v>116557</v>
      </c>
      <c r="AD22" s="1"/>
      <c r="AE22" s="46"/>
      <c r="AF22" s="24"/>
    </row>
    <row r="23" spans="2:35" x14ac:dyDescent="0.3">
      <c r="B23" s="217"/>
      <c r="C23" s="218"/>
      <c r="D23" s="219"/>
      <c r="E23" s="220"/>
      <c r="F23" s="217"/>
      <c r="G23" s="220"/>
      <c r="H23" s="217"/>
      <c r="I23" s="220"/>
      <c r="J23" s="217"/>
      <c r="K23" s="220"/>
      <c r="L23" s="217"/>
      <c r="M23" s="220"/>
      <c r="N23" s="217"/>
      <c r="O23" s="220"/>
      <c r="P23" s="217"/>
      <c r="Q23" s="220"/>
      <c r="R23" s="217"/>
      <c r="S23" s="220"/>
      <c r="T23" s="217"/>
      <c r="U23" s="220"/>
      <c r="V23" s="217"/>
      <c r="W23" s="220"/>
      <c r="X23" s="217"/>
      <c r="Y23" s="220"/>
      <c r="Z23" s="217"/>
      <c r="AA23" s="220"/>
      <c r="AB23" s="217"/>
      <c r="AC23" s="221"/>
      <c r="AD23" s="222"/>
      <c r="AE23" s="46"/>
      <c r="AF23" s="24"/>
    </row>
    <row r="24" spans="2:35" x14ac:dyDescent="0.3">
      <c r="C24" s="46"/>
      <c r="V24" t="s">
        <v>60</v>
      </c>
    </row>
    <row r="25" spans="2:35" x14ac:dyDescent="0.3">
      <c r="T25" t="s">
        <v>61</v>
      </c>
    </row>
    <row r="26" spans="2:35" x14ac:dyDescent="0.3">
      <c r="T26" s="47" t="s">
        <v>62</v>
      </c>
      <c r="U26" s="47"/>
      <c r="V26" s="47"/>
      <c r="W26" s="47"/>
      <c r="X26" s="47"/>
      <c r="Y26" s="47"/>
      <c r="Z26" s="47"/>
      <c r="AA26" s="47"/>
      <c r="AB26" s="47"/>
    </row>
    <row r="29" spans="2:35" ht="14.5" x14ac:dyDescent="0.35">
      <c r="T29" s="48" t="s">
        <v>63</v>
      </c>
      <c r="U29" s="48"/>
      <c r="V29" s="48"/>
      <c r="W29" s="48"/>
      <c r="X29" s="48"/>
      <c r="Y29" s="48"/>
      <c r="Z29" s="48"/>
      <c r="AA29" s="48"/>
      <c r="AB29" s="48"/>
    </row>
    <row r="30" spans="2:35" x14ac:dyDescent="0.3">
      <c r="T30" s="47" t="s">
        <v>64</v>
      </c>
      <c r="U30" s="47"/>
      <c r="V30" s="47"/>
      <c r="W30" s="47"/>
      <c r="X30" s="47"/>
      <c r="Y30" s="47"/>
      <c r="Z30" s="47"/>
      <c r="AA30" s="47"/>
      <c r="AB30" s="47"/>
    </row>
    <row r="31" spans="2:35" x14ac:dyDescent="0.3">
      <c r="T31" s="47" t="s">
        <v>65</v>
      </c>
      <c r="U31" s="47"/>
      <c r="V31" s="47"/>
      <c r="W31" s="47"/>
      <c r="X31" s="47"/>
      <c r="Y31" s="47"/>
      <c r="Z31" s="47"/>
      <c r="AA31" s="47"/>
      <c r="AB31" s="47"/>
    </row>
  </sheetData>
  <mergeCells count="36">
    <mergeCell ref="T26:AB26"/>
    <mergeCell ref="T29:AB29"/>
    <mergeCell ref="T30:AB30"/>
    <mergeCell ref="T31:AB31"/>
    <mergeCell ref="Q7:R7"/>
    <mergeCell ref="S7:T7"/>
    <mergeCell ref="U7:V7"/>
    <mergeCell ref="W7:X7"/>
    <mergeCell ref="Y7:Z7"/>
    <mergeCell ref="AA7:AB7"/>
    <mergeCell ref="Y6:Z6"/>
    <mergeCell ref="AA6:AB6"/>
    <mergeCell ref="AC6:AC8"/>
    <mergeCell ref="AD6:AD8"/>
    <mergeCell ref="E7:F7"/>
    <mergeCell ref="G7:H7"/>
    <mergeCell ref="I7:J7"/>
    <mergeCell ref="K7:L7"/>
    <mergeCell ref="M7:N7"/>
    <mergeCell ref="O7:P7"/>
    <mergeCell ref="M6:N6"/>
    <mergeCell ref="O6:P6"/>
    <mergeCell ref="Q6:R6"/>
    <mergeCell ref="S6:T6"/>
    <mergeCell ref="U6:V6"/>
    <mergeCell ref="W6:X6"/>
    <mergeCell ref="A1:AD1"/>
    <mergeCell ref="A2:AD2"/>
    <mergeCell ref="A3:AD3"/>
    <mergeCell ref="B4:AC4"/>
    <mergeCell ref="B6:B8"/>
    <mergeCell ref="D6:D8"/>
    <mergeCell ref="E6:F6"/>
    <mergeCell ref="G6:H6"/>
    <mergeCell ref="I6:J6"/>
    <mergeCell ref="K6:L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E6553-0304-46EC-946F-3F5A2DB787DD}">
  <dimension ref="A1:AH31"/>
  <sheetViews>
    <sheetView workbookViewId="0">
      <selection activeCell="S10" sqref="S10"/>
    </sheetView>
  </sheetViews>
  <sheetFormatPr defaultRowHeight="13" x14ac:dyDescent="0.3"/>
  <cols>
    <col min="1" max="1" width="3.09765625" customWidth="1"/>
    <col min="2" max="2" width="13.796875" customWidth="1"/>
    <col min="3" max="3" width="16.296875" customWidth="1"/>
    <col min="4" max="4" width="3.8984375" customWidth="1"/>
    <col min="5" max="5" width="5.796875" customWidth="1"/>
    <col min="6" max="6" width="4.3984375" customWidth="1"/>
    <col min="7" max="7" width="5.796875" customWidth="1"/>
    <col min="8" max="8" width="4.8984375" customWidth="1"/>
    <col min="9" max="9" width="7.3984375" customWidth="1"/>
    <col min="10" max="10" width="4.3984375" customWidth="1"/>
    <col min="11" max="11" width="5.5" customWidth="1"/>
    <col min="12" max="12" width="4.59765625" customWidth="1"/>
    <col min="13" max="13" width="6.09765625" customWidth="1"/>
    <col min="14" max="14" width="4.8984375" customWidth="1"/>
    <col min="15" max="15" width="5.69921875" customWidth="1"/>
    <col min="16" max="16" width="4.59765625" customWidth="1"/>
    <col min="17" max="17" width="5.5" customWidth="1"/>
    <col min="18" max="18" width="4.59765625" customWidth="1"/>
    <col min="19" max="19" width="6" customWidth="1"/>
    <col min="20" max="20" width="4.8984375" customWidth="1"/>
    <col min="21" max="21" width="6" customWidth="1"/>
    <col min="22" max="22" width="4.3984375" customWidth="1"/>
    <col min="23" max="23" width="5.5" customWidth="1"/>
    <col min="24" max="24" width="4.09765625" customWidth="1"/>
    <col min="25" max="25" width="5.5" customWidth="1"/>
    <col min="26" max="26" width="4.69921875" customWidth="1"/>
    <col min="27" max="28" width="6.296875" customWidth="1"/>
    <col min="29" max="30" width="6.796875" customWidth="1"/>
    <col min="31" max="31" width="6.8984375" customWidth="1"/>
  </cols>
  <sheetData>
    <row r="1" spans="1:32" ht="18" x14ac:dyDescent="0.5">
      <c r="A1" s="49" t="s">
        <v>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50"/>
    </row>
    <row r="2" spans="1:32" ht="18" x14ac:dyDescent="0.5">
      <c r="A2" s="49" t="s">
        <v>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</row>
    <row r="3" spans="1:32" ht="15.5" x14ac:dyDescent="0.35">
      <c r="A3" s="51" t="s">
        <v>3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2"/>
    </row>
    <row r="4" spans="1:32" ht="15" thickBot="1" x14ac:dyDescent="0.35">
      <c r="A4" s="53" t="s">
        <v>66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</row>
    <row r="5" spans="1:32" x14ac:dyDescent="0.3">
      <c r="A5" s="5" t="s">
        <v>5</v>
      </c>
      <c r="B5" s="6" t="s">
        <v>6</v>
      </c>
      <c r="C5" s="7" t="s">
        <v>7</v>
      </c>
      <c r="D5" s="7" t="s">
        <v>8</v>
      </c>
      <c r="E5" s="8"/>
      <c r="F5" s="7" t="s">
        <v>9</v>
      </c>
      <c r="G5" s="8"/>
      <c r="H5" s="7" t="s">
        <v>10</v>
      </c>
      <c r="I5" s="8"/>
      <c r="J5" s="7" t="s">
        <v>11</v>
      </c>
      <c r="K5" s="8"/>
      <c r="L5" s="7" t="s">
        <v>12</v>
      </c>
      <c r="M5" s="8"/>
      <c r="N5" s="7" t="s">
        <v>13</v>
      </c>
      <c r="O5" s="8"/>
      <c r="P5" s="7" t="s">
        <v>14</v>
      </c>
      <c r="Q5" s="8"/>
      <c r="R5" s="7" t="s">
        <v>15</v>
      </c>
      <c r="S5" s="8"/>
      <c r="T5" s="7" t="s">
        <v>16</v>
      </c>
      <c r="U5" s="8"/>
      <c r="V5" s="7" t="s">
        <v>17</v>
      </c>
      <c r="W5" s="8"/>
      <c r="X5" s="7" t="s">
        <v>18</v>
      </c>
      <c r="Y5" s="8"/>
      <c r="Z5" s="7" t="s">
        <v>19</v>
      </c>
      <c r="AA5" s="8"/>
      <c r="AB5" s="7" t="s">
        <v>20</v>
      </c>
      <c r="AC5" s="8"/>
      <c r="AD5" s="5" t="s">
        <v>67</v>
      </c>
      <c r="AE5" s="5" t="s">
        <v>21</v>
      </c>
    </row>
    <row r="6" spans="1:32" x14ac:dyDescent="0.3">
      <c r="A6" s="9"/>
      <c r="B6" s="10" t="s">
        <v>22</v>
      </c>
      <c r="C6" s="11"/>
      <c r="D6" s="12">
        <v>2022</v>
      </c>
      <c r="E6" s="13"/>
      <c r="F6" s="12">
        <v>2022</v>
      </c>
      <c r="G6" s="13"/>
      <c r="H6" s="12">
        <v>2022</v>
      </c>
      <c r="I6" s="13"/>
      <c r="J6" s="12">
        <v>2022</v>
      </c>
      <c r="K6" s="13"/>
      <c r="L6" s="12">
        <v>2022</v>
      </c>
      <c r="M6" s="13"/>
      <c r="N6" s="12">
        <v>2022</v>
      </c>
      <c r="O6" s="13"/>
      <c r="P6" s="12">
        <v>2022</v>
      </c>
      <c r="Q6" s="13"/>
      <c r="R6" s="12">
        <v>2022</v>
      </c>
      <c r="S6" s="13"/>
      <c r="T6" s="12">
        <v>2022</v>
      </c>
      <c r="U6" s="13"/>
      <c r="V6" s="12">
        <v>2022</v>
      </c>
      <c r="W6" s="13"/>
      <c r="X6" s="12">
        <v>2022</v>
      </c>
      <c r="Y6" s="13"/>
      <c r="Z6" s="12">
        <v>2022</v>
      </c>
      <c r="AA6" s="13"/>
      <c r="AB6" s="12">
        <v>2022</v>
      </c>
      <c r="AC6" s="13"/>
      <c r="AD6" s="9"/>
      <c r="AE6" s="9"/>
    </row>
    <row r="7" spans="1:32" x14ac:dyDescent="0.3">
      <c r="A7" s="9"/>
      <c r="B7" s="10" t="s">
        <v>23</v>
      </c>
      <c r="C7" s="11"/>
      <c r="D7" s="14" t="s">
        <v>24</v>
      </c>
      <c r="E7" s="15" t="s">
        <v>25</v>
      </c>
      <c r="F7" s="16" t="s">
        <v>26</v>
      </c>
      <c r="G7" s="16" t="s">
        <v>25</v>
      </c>
      <c r="H7" s="16" t="s">
        <v>26</v>
      </c>
      <c r="I7" s="10" t="s">
        <v>25</v>
      </c>
      <c r="J7" s="10" t="s">
        <v>26</v>
      </c>
      <c r="K7" s="10" t="s">
        <v>25</v>
      </c>
      <c r="L7" s="10" t="s">
        <v>26</v>
      </c>
      <c r="M7" s="10" t="s">
        <v>25</v>
      </c>
      <c r="N7" s="10" t="s">
        <v>26</v>
      </c>
      <c r="O7" s="10" t="s">
        <v>25</v>
      </c>
      <c r="P7" s="10" t="s">
        <v>26</v>
      </c>
      <c r="Q7" s="10" t="s">
        <v>25</v>
      </c>
      <c r="R7" s="10" t="s">
        <v>26</v>
      </c>
      <c r="S7" s="10" t="s">
        <v>25</v>
      </c>
      <c r="T7" s="10" t="s">
        <v>26</v>
      </c>
      <c r="U7" s="10" t="s">
        <v>25</v>
      </c>
      <c r="V7" s="10" t="s">
        <v>26</v>
      </c>
      <c r="W7" s="10" t="s">
        <v>25</v>
      </c>
      <c r="X7" s="10" t="s">
        <v>26</v>
      </c>
      <c r="Y7" s="10" t="s">
        <v>25</v>
      </c>
      <c r="Z7" s="10" t="s">
        <v>26</v>
      </c>
      <c r="AA7" s="10" t="s">
        <v>25</v>
      </c>
      <c r="AB7" s="15" t="s">
        <v>26</v>
      </c>
      <c r="AC7" s="10" t="s">
        <v>25</v>
      </c>
      <c r="AD7" s="9"/>
      <c r="AE7" s="9"/>
    </row>
    <row r="8" spans="1:32" x14ac:dyDescent="0.3">
      <c r="A8" s="17" t="s">
        <v>27</v>
      </c>
      <c r="B8" s="18" t="s">
        <v>28</v>
      </c>
      <c r="C8" s="19" t="s">
        <v>29</v>
      </c>
      <c r="D8" s="17">
        <v>0</v>
      </c>
      <c r="E8" s="17">
        <v>3089</v>
      </c>
      <c r="F8" s="17">
        <v>0</v>
      </c>
      <c r="G8" s="17">
        <v>1752</v>
      </c>
      <c r="H8" s="17">
        <v>0</v>
      </c>
      <c r="I8" s="17">
        <v>1523</v>
      </c>
      <c r="J8" s="17">
        <v>0</v>
      </c>
      <c r="K8" s="17">
        <v>2004</v>
      </c>
      <c r="L8" s="17">
        <v>0</v>
      </c>
      <c r="M8" s="20">
        <v>2922</v>
      </c>
      <c r="N8" s="17">
        <v>0</v>
      </c>
      <c r="O8" s="17">
        <v>987</v>
      </c>
      <c r="P8" s="17">
        <v>0</v>
      </c>
      <c r="Q8" s="17">
        <v>1503</v>
      </c>
      <c r="R8" s="17">
        <v>0</v>
      </c>
      <c r="S8" s="17">
        <v>902</v>
      </c>
      <c r="T8" s="17">
        <v>0</v>
      </c>
      <c r="U8" s="17">
        <v>1567</v>
      </c>
      <c r="V8" s="17">
        <v>0</v>
      </c>
      <c r="W8" s="17">
        <v>1520</v>
      </c>
      <c r="X8" s="17">
        <v>0</v>
      </c>
      <c r="Y8" s="20">
        <v>1301</v>
      </c>
      <c r="Z8" s="17">
        <v>0</v>
      </c>
      <c r="AA8" s="17">
        <v>3688</v>
      </c>
      <c r="AB8" s="43">
        <f t="shared" ref="AB8:AC21" si="0">SUM(Z8+X8+V8+T8+R8+P8+N8+L8+J8+H8+F8+D8)</f>
        <v>0</v>
      </c>
      <c r="AC8" s="21">
        <f t="shared" si="0"/>
        <v>22758</v>
      </c>
      <c r="AD8" s="21">
        <f>AB8+AC8</f>
        <v>22758</v>
      </c>
      <c r="AE8" s="54"/>
    </row>
    <row r="9" spans="1:32" x14ac:dyDescent="0.3">
      <c r="A9" s="25" t="s">
        <v>31</v>
      </c>
      <c r="B9" s="26" t="s">
        <v>32</v>
      </c>
      <c r="C9" s="27" t="s">
        <v>29</v>
      </c>
      <c r="D9" s="17">
        <v>0</v>
      </c>
      <c r="E9" s="25">
        <v>3456</v>
      </c>
      <c r="F9" s="17">
        <v>0</v>
      </c>
      <c r="G9" s="25">
        <v>3555</v>
      </c>
      <c r="H9" s="17">
        <v>0</v>
      </c>
      <c r="I9" s="25">
        <v>1524</v>
      </c>
      <c r="J9" s="17">
        <v>0</v>
      </c>
      <c r="K9" s="25">
        <v>2965</v>
      </c>
      <c r="L9" s="17">
        <v>0</v>
      </c>
      <c r="M9" s="25">
        <v>3443</v>
      </c>
      <c r="N9" s="17">
        <v>0</v>
      </c>
      <c r="O9" s="25">
        <v>1122</v>
      </c>
      <c r="P9" s="17">
        <v>0</v>
      </c>
      <c r="Q9" s="25">
        <v>1397</v>
      </c>
      <c r="R9" s="17">
        <v>0</v>
      </c>
      <c r="S9" s="25">
        <v>880</v>
      </c>
      <c r="T9" s="17">
        <v>0</v>
      </c>
      <c r="U9" s="25">
        <v>825</v>
      </c>
      <c r="V9" s="17">
        <v>0</v>
      </c>
      <c r="W9" s="25">
        <v>321</v>
      </c>
      <c r="X9" s="17">
        <v>0</v>
      </c>
      <c r="Y9" s="28">
        <v>765</v>
      </c>
      <c r="Z9" s="17">
        <v>0</v>
      </c>
      <c r="AA9" s="25">
        <v>2525</v>
      </c>
      <c r="AB9" s="43">
        <f t="shared" si="0"/>
        <v>0</v>
      </c>
      <c r="AC9" s="15">
        <f t="shared" si="0"/>
        <v>22778</v>
      </c>
      <c r="AD9" s="21">
        <f t="shared" ref="AD9:AD21" si="1">AB9+AC9</f>
        <v>22778</v>
      </c>
      <c r="AE9" s="55"/>
    </row>
    <row r="10" spans="1:32" x14ac:dyDescent="0.3">
      <c r="A10" s="25" t="s">
        <v>33</v>
      </c>
      <c r="B10" s="26" t="s">
        <v>34</v>
      </c>
      <c r="C10" s="27" t="s">
        <v>35</v>
      </c>
      <c r="D10" s="17">
        <v>0</v>
      </c>
      <c r="E10" s="25">
        <v>2350</v>
      </c>
      <c r="F10" s="17">
        <v>0</v>
      </c>
      <c r="G10" s="25">
        <v>1875</v>
      </c>
      <c r="H10" s="17">
        <v>0</v>
      </c>
      <c r="I10" s="25">
        <v>1550</v>
      </c>
      <c r="J10" s="17">
        <v>0</v>
      </c>
      <c r="K10" s="25">
        <v>1321</v>
      </c>
      <c r="L10" s="17">
        <v>0</v>
      </c>
      <c r="M10" s="25">
        <v>4256</v>
      </c>
      <c r="N10" s="17">
        <v>0</v>
      </c>
      <c r="O10" s="25">
        <v>1550</v>
      </c>
      <c r="P10" s="17">
        <v>0</v>
      </c>
      <c r="Q10" s="25">
        <v>1400</v>
      </c>
      <c r="R10" s="17">
        <v>0</v>
      </c>
      <c r="S10" s="25">
        <v>445</v>
      </c>
      <c r="T10" s="17">
        <v>0</v>
      </c>
      <c r="U10" s="25">
        <v>357</v>
      </c>
      <c r="V10" s="17">
        <v>0</v>
      </c>
      <c r="W10" s="25">
        <v>345</v>
      </c>
      <c r="X10" s="17">
        <v>0</v>
      </c>
      <c r="Y10" s="28">
        <v>682</v>
      </c>
      <c r="Z10" s="17">
        <v>0</v>
      </c>
      <c r="AA10" s="25">
        <v>2997</v>
      </c>
      <c r="AB10" s="43">
        <f t="shared" si="0"/>
        <v>0</v>
      </c>
      <c r="AC10" s="15">
        <f t="shared" si="0"/>
        <v>19128</v>
      </c>
      <c r="AD10" s="21">
        <f t="shared" si="1"/>
        <v>19128</v>
      </c>
      <c r="AE10" s="55"/>
    </row>
    <row r="11" spans="1:32" x14ac:dyDescent="0.3">
      <c r="A11" s="25" t="s">
        <v>36</v>
      </c>
      <c r="B11" s="26" t="s">
        <v>37</v>
      </c>
      <c r="C11" s="27" t="s">
        <v>35</v>
      </c>
      <c r="D11" s="17">
        <v>0</v>
      </c>
      <c r="E11" s="25">
        <v>1950</v>
      </c>
      <c r="F11" s="17">
        <v>0</v>
      </c>
      <c r="G11" s="25">
        <v>1550</v>
      </c>
      <c r="H11" s="17">
        <v>0</v>
      </c>
      <c r="I11" s="25">
        <v>1250</v>
      </c>
      <c r="J11" s="17">
        <v>0</v>
      </c>
      <c r="K11" s="25">
        <v>785</v>
      </c>
      <c r="L11" s="17">
        <v>0</v>
      </c>
      <c r="M11" s="25">
        <v>625</v>
      </c>
      <c r="N11" s="17">
        <v>0</v>
      </c>
      <c r="O11" s="25">
        <v>775</v>
      </c>
      <c r="P11" s="17">
        <v>0</v>
      </c>
      <c r="Q11" s="25">
        <v>773</v>
      </c>
      <c r="R11" s="17">
        <v>0</v>
      </c>
      <c r="S11" s="25">
        <v>936</v>
      </c>
      <c r="T11" s="17">
        <v>0</v>
      </c>
      <c r="U11" s="25">
        <v>257</v>
      </c>
      <c r="V11" s="17">
        <v>0</v>
      </c>
      <c r="W11" s="25">
        <v>235</v>
      </c>
      <c r="X11" s="17">
        <v>0</v>
      </c>
      <c r="Y11" s="28">
        <v>315</v>
      </c>
      <c r="Z11" s="17">
        <v>0</v>
      </c>
      <c r="AA11" s="25">
        <v>1495</v>
      </c>
      <c r="AB11" s="43">
        <f t="shared" si="0"/>
        <v>0</v>
      </c>
      <c r="AC11" s="15">
        <f t="shared" si="0"/>
        <v>10946</v>
      </c>
      <c r="AD11" s="21">
        <f t="shared" si="1"/>
        <v>10946</v>
      </c>
      <c r="AE11" s="55"/>
    </row>
    <row r="12" spans="1:32" x14ac:dyDescent="0.3">
      <c r="A12" s="30" t="s">
        <v>38</v>
      </c>
      <c r="B12" s="31" t="s">
        <v>39</v>
      </c>
      <c r="C12" s="32" t="s">
        <v>40</v>
      </c>
      <c r="D12" s="17">
        <v>0</v>
      </c>
      <c r="E12" s="30">
        <v>2726</v>
      </c>
      <c r="F12" s="17">
        <v>0</v>
      </c>
      <c r="G12" s="30">
        <v>2015</v>
      </c>
      <c r="H12" s="17">
        <v>0</v>
      </c>
      <c r="I12" s="30">
        <v>1250</v>
      </c>
      <c r="J12" s="17">
        <v>0</v>
      </c>
      <c r="K12" s="30">
        <v>1221</v>
      </c>
      <c r="L12" s="17">
        <v>0</v>
      </c>
      <c r="M12" s="30">
        <v>9364</v>
      </c>
      <c r="N12" s="17">
        <v>0</v>
      </c>
      <c r="O12" s="30">
        <v>754</v>
      </c>
      <c r="P12" s="17">
        <v>0</v>
      </c>
      <c r="Q12" s="30">
        <v>1025</v>
      </c>
      <c r="R12" s="17">
        <v>0</v>
      </c>
      <c r="S12" s="30">
        <v>890</v>
      </c>
      <c r="T12" s="17">
        <v>0</v>
      </c>
      <c r="U12" s="30">
        <v>457</v>
      </c>
      <c r="V12" s="17">
        <v>0</v>
      </c>
      <c r="W12" s="30">
        <v>543</v>
      </c>
      <c r="X12" s="17">
        <v>0</v>
      </c>
      <c r="Y12" s="33">
        <v>406</v>
      </c>
      <c r="Z12" s="17">
        <v>0</v>
      </c>
      <c r="AA12" s="30">
        <v>4024</v>
      </c>
      <c r="AB12" s="43">
        <f t="shared" si="0"/>
        <v>0</v>
      </c>
      <c r="AC12" s="10">
        <f t="shared" si="0"/>
        <v>24675</v>
      </c>
      <c r="AD12" s="21">
        <f t="shared" si="1"/>
        <v>24675</v>
      </c>
      <c r="AE12" s="56"/>
    </row>
    <row r="13" spans="1:32" ht="21" x14ac:dyDescent="0.3">
      <c r="A13" s="17" t="s">
        <v>41</v>
      </c>
      <c r="B13" s="57" t="s">
        <v>68</v>
      </c>
      <c r="C13" s="57" t="s">
        <v>69</v>
      </c>
      <c r="D13" s="17">
        <v>0</v>
      </c>
      <c r="E13" s="17">
        <v>3506</v>
      </c>
      <c r="F13" s="17">
        <v>0</v>
      </c>
      <c r="G13" s="17">
        <v>1524</v>
      </c>
      <c r="H13" s="17">
        <v>0</v>
      </c>
      <c r="I13" s="17">
        <v>2150</v>
      </c>
      <c r="J13" s="17">
        <v>0</v>
      </c>
      <c r="K13" s="17">
        <v>6766</v>
      </c>
      <c r="L13" s="17">
        <v>0</v>
      </c>
      <c r="M13" s="17">
        <v>1028</v>
      </c>
      <c r="N13" s="17">
        <v>0</v>
      </c>
      <c r="O13" s="17">
        <v>1433</v>
      </c>
      <c r="P13" s="17">
        <v>0</v>
      </c>
      <c r="Q13" s="17">
        <v>1876</v>
      </c>
      <c r="R13" s="17">
        <v>0</v>
      </c>
      <c r="S13" s="17">
        <v>3456</v>
      </c>
      <c r="T13" s="17">
        <v>0</v>
      </c>
      <c r="U13" s="17">
        <v>1291</v>
      </c>
      <c r="V13" s="17">
        <v>0</v>
      </c>
      <c r="W13" s="17">
        <v>1978</v>
      </c>
      <c r="X13" s="17">
        <v>0</v>
      </c>
      <c r="Y13" s="17">
        <v>856</v>
      </c>
      <c r="Z13" s="17">
        <v>0</v>
      </c>
      <c r="AA13" s="17">
        <v>986</v>
      </c>
      <c r="AB13" s="43">
        <f t="shared" si="0"/>
        <v>0</v>
      </c>
      <c r="AC13" s="21">
        <f t="shared" si="0"/>
        <v>26850</v>
      </c>
      <c r="AD13" s="21">
        <f t="shared" si="1"/>
        <v>26850</v>
      </c>
      <c r="AE13" s="58"/>
    </row>
    <row r="14" spans="1:32" x14ac:dyDescent="0.3">
      <c r="A14" s="59" t="s">
        <v>46</v>
      </c>
      <c r="B14" s="60" t="s">
        <v>47</v>
      </c>
      <c r="C14" s="61" t="s">
        <v>70</v>
      </c>
      <c r="D14" s="59">
        <v>0</v>
      </c>
      <c r="E14" s="59">
        <v>4032</v>
      </c>
      <c r="F14" s="59">
        <v>0</v>
      </c>
      <c r="G14" s="59">
        <v>2134</v>
      </c>
      <c r="H14" s="59">
        <v>0</v>
      </c>
      <c r="I14" s="59">
        <v>1975</v>
      </c>
      <c r="J14" s="59">
        <v>0</v>
      </c>
      <c r="K14" s="59">
        <v>1546</v>
      </c>
      <c r="L14" s="59">
        <v>0</v>
      </c>
      <c r="M14" s="59">
        <v>667</v>
      </c>
      <c r="N14" s="59">
        <v>0</v>
      </c>
      <c r="O14" s="59">
        <v>608</v>
      </c>
      <c r="P14" s="59">
        <v>0</v>
      </c>
      <c r="Q14" s="59">
        <v>876</v>
      </c>
      <c r="R14" s="59">
        <v>0</v>
      </c>
      <c r="S14" s="59">
        <v>1452</v>
      </c>
      <c r="T14" s="59">
        <v>0</v>
      </c>
      <c r="U14" s="59">
        <v>987</v>
      </c>
      <c r="V14" s="59">
        <v>0</v>
      </c>
      <c r="W14" s="59">
        <v>453</v>
      </c>
      <c r="X14" s="59">
        <v>0</v>
      </c>
      <c r="Y14" s="59">
        <v>1787</v>
      </c>
      <c r="Z14" s="59">
        <v>0</v>
      </c>
      <c r="AA14" s="59">
        <v>1528</v>
      </c>
      <c r="AB14" s="62">
        <f t="shared" si="0"/>
        <v>0</v>
      </c>
      <c r="AC14" s="62">
        <f t="shared" si="0"/>
        <v>18045</v>
      </c>
      <c r="AD14" s="62">
        <f t="shared" si="1"/>
        <v>18045</v>
      </c>
      <c r="AE14" s="63"/>
    </row>
    <row r="15" spans="1:32" x14ac:dyDescent="0.3">
      <c r="A15" s="64"/>
      <c r="B15" s="65"/>
      <c r="C15" s="66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7"/>
      <c r="AC15" s="67"/>
      <c r="AD15" s="67"/>
      <c r="AE15" s="68"/>
    </row>
    <row r="16" spans="1:32" x14ac:dyDescent="0.3">
      <c r="A16" s="69" t="s">
        <v>50</v>
      </c>
      <c r="B16" s="70" t="s">
        <v>71</v>
      </c>
      <c r="C16" s="70" t="s">
        <v>72</v>
      </c>
      <c r="D16" s="59">
        <v>0</v>
      </c>
      <c r="E16" s="69">
        <v>3185</v>
      </c>
      <c r="F16" s="59">
        <v>0</v>
      </c>
      <c r="G16" s="69">
        <v>1400</v>
      </c>
      <c r="H16" s="59">
        <v>0</v>
      </c>
      <c r="I16" s="69">
        <v>2200</v>
      </c>
      <c r="J16" s="59">
        <v>0</v>
      </c>
      <c r="K16" s="69">
        <v>360</v>
      </c>
      <c r="L16" s="59">
        <v>0</v>
      </c>
      <c r="M16" s="69">
        <v>4740</v>
      </c>
      <c r="N16" s="59">
        <v>0</v>
      </c>
      <c r="O16" s="69">
        <v>1800</v>
      </c>
      <c r="P16" s="59">
        <v>0</v>
      </c>
      <c r="Q16" s="69">
        <v>1900</v>
      </c>
      <c r="R16" s="59">
        <v>0</v>
      </c>
      <c r="S16" s="69">
        <v>1600</v>
      </c>
      <c r="T16" s="59">
        <v>0</v>
      </c>
      <c r="U16" s="69">
        <v>750</v>
      </c>
      <c r="V16" s="59">
        <v>0</v>
      </c>
      <c r="W16" s="69">
        <v>1450</v>
      </c>
      <c r="X16" s="59">
        <v>0</v>
      </c>
      <c r="Y16" s="69">
        <v>900</v>
      </c>
      <c r="Z16" s="59">
        <v>0</v>
      </c>
      <c r="AA16" s="71">
        <v>1200</v>
      </c>
      <c r="AB16" s="62">
        <f t="shared" si="0"/>
        <v>0</v>
      </c>
      <c r="AC16" s="69">
        <f>SUM(AA16+Y16+W16+U16+S16+Q16+O16+M16+K16+I16+G16+E16)</f>
        <v>21485</v>
      </c>
      <c r="AD16" s="62">
        <f t="shared" si="1"/>
        <v>21485</v>
      </c>
      <c r="AE16" s="72"/>
    </row>
    <row r="17" spans="1:34" x14ac:dyDescent="0.3">
      <c r="A17" s="73"/>
      <c r="B17" s="74"/>
      <c r="C17" s="74"/>
      <c r="D17" s="64"/>
      <c r="E17" s="73"/>
      <c r="F17" s="64"/>
      <c r="G17" s="73"/>
      <c r="H17" s="64"/>
      <c r="I17" s="73"/>
      <c r="J17" s="64"/>
      <c r="K17" s="73"/>
      <c r="L17" s="64"/>
      <c r="M17" s="73"/>
      <c r="N17" s="64"/>
      <c r="O17" s="73"/>
      <c r="P17" s="64"/>
      <c r="Q17" s="73"/>
      <c r="R17" s="64"/>
      <c r="S17" s="73"/>
      <c r="T17" s="64"/>
      <c r="U17" s="73"/>
      <c r="V17" s="64"/>
      <c r="W17" s="73"/>
      <c r="X17" s="64"/>
      <c r="Y17" s="73"/>
      <c r="Z17" s="64"/>
      <c r="AA17" s="75"/>
      <c r="AB17" s="67"/>
      <c r="AC17" s="73"/>
      <c r="AD17" s="67"/>
      <c r="AE17" s="76"/>
    </row>
    <row r="18" spans="1:34" x14ac:dyDescent="0.3">
      <c r="A18" s="77" t="s">
        <v>54</v>
      </c>
      <c r="B18" s="78" t="s">
        <v>55</v>
      </c>
      <c r="C18" s="78" t="s">
        <v>56</v>
      </c>
      <c r="D18" s="17">
        <v>0</v>
      </c>
      <c r="E18" s="77">
        <v>294</v>
      </c>
      <c r="F18" s="17">
        <v>0</v>
      </c>
      <c r="G18" s="79">
        <v>0</v>
      </c>
      <c r="H18" s="17">
        <v>0</v>
      </c>
      <c r="I18" s="77">
        <v>95</v>
      </c>
      <c r="J18" s="17">
        <v>0</v>
      </c>
      <c r="K18" s="79">
        <v>0</v>
      </c>
      <c r="L18" s="17">
        <v>0</v>
      </c>
      <c r="M18" s="77">
        <v>1339</v>
      </c>
      <c r="N18" s="17">
        <v>0</v>
      </c>
      <c r="O18" s="77">
        <v>100</v>
      </c>
      <c r="P18" s="17">
        <v>0</v>
      </c>
      <c r="Q18" s="77">
        <v>49</v>
      </c>
      <c r="R18" s="17">
        <v>0</v>
      </c>
      <c r="S18" s="77">
        <v>65</v>
      </c>
      <c r="T18" s="17">
        <v>0</v>
      </c>
      <c r="U18" s="77">
        <v>15</v>
      </c>
      <c r="V18" s="17">
        <v>0</v>
      </c>
      <c r="W18" s="77">
        <v>49</v>
      </c>
      <c r="X18" s="17">
        <v>0</v>
      </c>
      <c r="Y18" s="77">
        <v>40</v>
      </c>
      <c r="Z18" s="17">
        <v>0</v>
      </c>
      <c r="AA18" s="79">
        <v>20</v>
      </c>
      <c r="AB18" s="43">
        <f t="shared" si="0"/>
        <v>0</v>
      </c>
      <c r="AC18" s="77">
        <f>SUM(AA18+Y18+W18+U18+S18+Q18+O18+M18+K18+I18+G18+E18)</f>
        <v>2066</v>
      </c>
      <c r="AD18" s="21">
        <f t="shared" si="1"/>
        <v>2066</v>
      </c>
      <c r="AE18" s="80"/>
    </row>
    <row r="19" spans="1:34" x14ac:dyDescent="0.3">
      <c r="A19" s="41" t="s">
        <v>57</v>
      </c>
      <c r="B19" s="42" t="s">
        <v>58</v>
      </c>
      <c r="C19" s="42" t="s">
        <v>59</v>
      </c>
      <c r="D19" s="17">
        <v>0</v>
      </c>
      <c r="E19" s="41">
        <v>6023</v>
      </c>
      <c r="F19" s="17">
        <v>0</v>
      </c>
      <c r="G19" s="41">
        <v>1196</v>
      </c>
      <c r="H19" s="17">
        <v>0</v>
      </c>
      <c r="I19" s="41">
        <v>2534</v>
      </c>
      <c r="J19" s="17">
        <v>0</v>
      </c>
      <c r="K19" s="41">
        <v>6124</v>
      </c>
      <c r="L19" s="17">
        <v>0</v>
      </c>
      <c r="M19" s="41">
        <v>967</v>
      </c>
      <c r="N19" s="17">
        <v>0</v>
      </c>
      <c r="O19" s="41">
        <v>1026</v>
      </c>
      <c r="P19" s="17">
        <v>0</v>
      </c>
      <c r="Q19" s="41">
        <v>652</v>
      </c>
      <c r="R19" s="17">
        <v>0</v>
      </c>
      <c r="S19" s="41">
        <v>975</v>
      </c>
      <c r="T19" s="17">
        <v>0</v>
      </c>
      <c r="U19" s="41">
        <v>679</v>
      </c>
      <c r="V19" s="17">
        <v>0</v>
      </c>
      <c r="W19" s="41">
        <v>532</v>
      </c>
      <c r="X19" s="17">
        <v>0</v>
      </c>
      <c r="Y19" s="41">
        <v>678</v>
      </c>
      <c r="Z19" s="17">
        <v>0</v>
      </c>
      <c r="AA19" s="41">
        <v>2311</v>
      </c>
      <c r="AB19" s="43">
        <f t="shared" si="0"/>
        <v>0</v>
      </c>
      <c r="AC19" s="43">
        <f>SUM(AA19+Y19+W19+U19+S19+Q19+O19+M19+K19+I19+G19+E19)</f>
        <v>23697</v>
      </c>
      <c r="AD19" s="21">
        <f t="shared" si="1"/>
        <v>23697</v>
      </c>
      <c r="AE19" s="81"/>
    </row>
    <row r="20" spans="1:34" ht="21" x14ac:dyDescent="0.3">
      <c r="A20" s="41" t="s">
        <v>73</v>
      </c>
      <c r="B20" s="42" t="s">
        <v>74</v>
      </c>
      <c r="C20" s="82" t="s">
        <v>75</v>
      </c>
      <c r="D20" s="17">
        <v>0</v>
      </c>
      <c r="E20" s="41">
        <v>10151</v>
      </c>
      <c r="F20" s="17">
        <v>0</v>
      </c>
      <c r="G20" s="41">
        <v>4683</v>
      </c>
      <c r="H20" s="17">
        <v>0</v>
      </c>
      <c r="I20" s="41">
        <v>4877</v>
      </c>
      <c r="J20" s="17">
        <v>0</v>
      </c>
      <c r="K20" s="41">
        <v>6119</v>
      </c>
      <c r="L20" s="17">
        <v>0</v>
      </c>
      <c r="M20" s="41">
        <v>7503</v>
      </c>
      <c r="N20" s="17">
        <v>0</v>
      </c>
      <c r="O20" s="41">
        <v>5040</v>
      </c>
      <c r="P20" s="17">
        <v>0</v>
      </c>
      <c r="Q20" s="41">
        <v>2956</v>
      </c>
      <c r="R20" s="17">
        <v>0</v>
      </c>
      <c r="S20" s="41">
        <v>2434</v>
      </c>
      <c r="T20" s="17">
        <v>0</v>
      </c>
      <c r="U20" s="41">
        <v>2555</v>
      </c>
      <c r="V20" s="17">
        <v>0</v>
      </c>
      <c r="W20" s="41">
        <v>3181</v>
      </c>
      <c r="X20" s="17">
        <v>0</v>
      </c>
      <c r="Y20" s="41">
        <v>4882</v>
      </c>
      <c r="Z20" s="17">
        <v>0</v>
      </c>
      <c r="AA20" s="41">
        <v>4087</v>
      </c>
      <c r="AB20" s="43">
        <f t="shared" si="0"/>
        <v>0</v>
      </c>
      <c r="AC20" s="43">
        <f>SUM(AA20+Y20+W20+U20+S20+Q20+O20+M20+K20+I20+G20+E20)</f>
        <v>58468</v>
      </c>
      <c r="AD20" s="21">
        <f t="shared" si="1"/>
        <v>58468</v>
      </c>
      <c r="AE20" s="81"/>
    </row>
    <row r="21" spans="1:34" ht="21" x14ac:dyDescent="0.3">
      <c r="A21" s="41">
        <v>12</v>
      </c>
      <c r="B21" s="42" t="s">
        <v>76</v>
      </c>
      <c r="C21" s="82" t="s">
        <v>75</v>
      </c>
      <c r="D21" s="17">
        <v>0</v>
      </c>
      <c r="E21" s="41">
        <v>87</v>
      </c>
      <c r="F21" s="17">
        <v>0</v>
      </c>
      <c r="G21" s="41">
        <v>4</v>
      </c>
      <c r="H21" s="17">
        <v>0</v>
      </c>
      <c r="I21" s="41">
        <v>7</v>
      </c>
      <c r="J21" s="17">
        <v>0</v>
      </c>
      <c r="K21" s="41">
        <v>12</v>
      </c>
      <c r="L21" s="17">
        <v>3</v>
      </c>
      <c r="M21" s="41">
        <v>30</v>
      </c>
      <c r="N21" s="17">
        <v>0</v>
      </c>
      <c r="O21" s="41">
        <v>0</v>
      </c>
      <c r="P21" s="17">
        <v>3</v>
      </c>
      <c r="Q21" s="41">
        <v>13</v>
      </c>
      <c r="R21" s="20">
        <v>13</v>
      </c>
      <c r="S21" s="41">
        <v>12</v>
      </c>
      <c r="T21" s="17">
        <v>0</v>
      </c>
      <c r="U21" s="41">
        <v>3</v>
      </c>
      <c r="V21" s="20">
        <v>27</v>
      </c>
      <c r="W21" s="41">
        <v>55</v>
      </c>
      <c r="X21" s="17">
        <v>0</v>
      </c>
      <c r="Y21" s="41">
        <v>0</v>
      </c>
      <c r="Z21" s="17">
        <v>0</v>
      </c>
      <c r="AA21" s="42">
        <v>0</v>
      </c>
      <c r="AB21" s="43">
        <f t="shared" si="0"/>
        <v>46</v>
      </c>
      <c r="AC21" s="43">
        <f>SUM(AA21+Y21+W21+U21+S21+Q21+O21+M21+K21+I21+G21+E21)</f>
        <v>223</v>
      </c>
      <c r="AD21" s="21">
        <f t="shared" si="1"/>
        <v>269</v>
      </c>
      <c r="AE21" s="81"/>
    </row>
    <row r="22" spans="1:34" ht="14.5" x14ac:dyDescent="0.35">
      <c r="A22" s="15"/>
      <c r="B22" s="45" t="s">
        <v>20</v>
      </c>
      <c r="C22" s="45"/>
      <c r="D22" s="15">
        <f>D8+D9+D10+D11+D12+D13+D14+D16+D18+D19+D20+D21</f>
        <v>0</v>
      </c>
      <c r="E22" s="15">
        <f>SUM(E20+E19+E18+E16+E14+E13+E12+E11+E10+E9+E8)</f>
        <v>40762</v>
      </c>
      <c r="F22" s="15">
        <f>F8+F9+F10+F11+F12+F13+F14+F16+F18+F19+F20+F21</f>
        <v>0</v>
      </c>
      <c r="G22" s="15">
        <f>SUM(G20+G19+G18+G16+G14+G13+G12+G11+G10+G9+G8)</f>
        <v>21684</v>
      </c>
      <c r="H22" s="15">
        <f>H8+H9+H10+H11+H12+H13+H14+H16+H18+H19+H20+H21</f>
        <v>0</v>
      </c>
      <c r="I22" s="15">
        <f>SUM(I20+I19+I18+I16+I14+I13+I12+I11+I10+I9+I8)</f>
        <v>20928</v>
      </c>
      <c r="J22" s="15">
        <f>J8+J9+J10+J11+J12+J13+J14+J16+J18+J19+J20+J21</f>
        <v>0</v>
      </c>
      <c r="K22" s="15">
        <f>SUM(K20+K19+K18+K16+K14+K13+K12+K11+K10+K9+K8)</f>
        <v>29211</v>
      </c>
      <c r="L22" s="15">
        <f>L8+L9+L10+L11+L12+L13+L14+L16+L18+L19+L20+L21</f>
        <v>3</v>
      </c>
      <c r="M22" s="15">
        <f>SUM(M20+M19+M18+M16+M14+M13+M12+M11+M10+M9+M8)</f>
        <v>36854</v>
      </c>
      <c r="N22" s="15">
        <f>N8+N9+N10+N11+N12+N13+N14+N16+N18+N19+N20+N21</f>
        <v>0</v>
      </c>
      <c r="O22" s="15">
        <f>SUM(O20+O19+O18+O16+O14+O13+O12+O11+O10+O9+O8)</f>
        <v>15195</v>
      </c>
      <c r="P22" s="15">
        <f>P8+P9+P10+P11+P12+P13+P14+P16+P18+P19+P20+P21</f>
        <v>3</v>
      </c>
      <c r="Q22" s="15">
        <f>SUM(Q20+Q19+Q18+Q16+Q14+Q13+Q12+Q11+Q10+Q9+Q8)</f>
        <v>14407</v>
      </c>
      <c r="R22" s="15">
        <f>R8+R9+R10+R11+R12+R13+R14+R16+R18+R19+R20+R21</f>
        <v>13</v>
      </c>
      <c r="S22" s="15">
        <f>SUM(S20+S19+S18+S16+S14+S13+S12+S11+S10+S9+S8)</f>
        <v>14035</v>
      </c>
      <c r="T22" s="15">
        <f>T8+T9+T10+T11+T12+T13+T14+T16+T18+T19+T20+T21</f>
        <v>0</v>
      </c>
      <c r="U22" s="15">
        <f>SUM(U20+U19+U18+U16+U14+U13+U12+U11+U10+U9+U8)</f>
        <v>9740</v>
      </c>
      <c r="V22" s="15">
        <f>V8+V9+V10+V11+V12+V13+V14+V16+V18+V19+V20+V21</f>
        <v>27</v>
      </c>
      <c r="W22" s="15">
        <f>SUM(W20+W19+W18+W16+W14+W13+W12+W11+W10+W9+W8)</f>
        <v>10607</v>
      </c>
      <c r="X22" s="15">
        <f>X8+X9+X10+X11+X12+X13+X14+X16+X18+X19+X20+X21</f>
        <v>0</v>
      </c>
      <c r="Y22" s="15">
        <f>SUM(Y20+Y19+Y18+Y16+Y14+Y13+Y12+Y11+Y10+Y9+Y8)</f>
        <v>12612</v>
      </c>
      <c r="Z22" s="15">
        <f>Z8+Z9+Z10+Z11+Z12+Z13+Z14+Z16+Z18+Z19+Z20+Z21</f>
        <v>0</v>
      </c>
      <c r="AA22" s="15">
        <f>SUM(AH26+AA20+AA19+AA16+AA14+AA13+AA12+AA11+AA10+AA9+AA8)</f>
        <v>24841</v>
      </c>
      <c r="AB22" s="15">
        <f>AB8+AB9+AB10+AB11+AB12+AB13+AB14+AB16+AB18+AB19+AB20+AB21</f>
        <v>46</v>
      </c>
      <c r="AC22" s="15">
        <f>SUM(AA22+Y22+W22+U22+S22+Q22+O22+M22+K22+I22+G22+E22)</f>
        <v>250876</v>
      </c>
      <c r="AD22" s="15">
        <f>AD8+AD9+AD10+AD11+AD12+AD13+AD14+AD16+AD18+AD19+AD20+AD21</f>
        <v>251165</v>
      </c>
      <c r="AE22" s="55"/>
      <c r="AF22" s="83">
        <v>251165</v>
      </c>
      <c r="AG22" s="83">
        <f>AD22</f>
        <v>251165</v>
      </c>
      <c r="AH22">
        <f>AF22-AG22</f>
        <v>0</v>
      </c>
    </row>
    <row r="23" spans="1:34" x14ac:dyDescent="0.3">
      <c r="A23" s="84"/>
      <c r="B23" s="85"/>
      <c r="C23" s="85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6"/>
      <c r="V23" s="86"/>
      <c r="W23" s="86"/>
      <c r="X23" s="86"/>
      <c r="Y23" s="86"/>
      <c r="Z23" s="86"/>
      <c r="AA23" s="86"/>
      <c r="AB23" s="84"/>
      <c r="AC23" s="84"/>
      <c r="AD23" s="84"/>
      <c r="AE23" s="87"/>
    </row>
    <row r="24" spans="1:34" x14ac:dyDescent="0.3">
      <c r="B24" s="46"/>
      <c r="U24" s="47" t="s">
        <v>77</v>
      </c>
      <c r="V24" s="47"/>
      <c r="W24" s="47"/>
      <c r="X24" s="47"/>
      <c r="Y24" s="47"/>
      <c r="Z24" s="47"/>
      <c r="AA24" s="47"/>
      <c r="AB24" s="88"/>
    </row>
    <row r="25" spans="1:34" ht="14.5" x14ac:dyDescent="0.35">
      <c r="I25" s="84"/>
      <c r="O25" s="84"/>
      <c r="S25" s="89" t="s">
        <v>61</v>
      </c>
      <c r="T25" s="89"/>
      <c r="U25" s="89"/>
      <c r="V25" s="89"/>
      <c r="W25" s="89"/>
      <c r="X25" s="89"/>
      <c r="Y25" s="89"/>
      <c r="Z25" s="89"/>
      <c r="AA25" s="89"/>
      <c r="AB25" s="90"/>
      <c r="AC25" s="91"/>
      <c r="AD25" s="91"/>
    </row>
    <row r="26" spans="1:34" ht="14.5" x14ac:dyDescent="0.35">
      <c r="G26" s="84"/>
      <c r="S26" s="89" t="s">
        <v>62</v>
      </c>
      <c r="T26" s="89"/>
      <c r="U26" s="89"/>
      <c r="V26" s="89"/>
      <c r="W26" s="89"/>
      <c r="X26" s="89"/>
      <c r="Y26" s="89"/>
      <c r="Z26" s="89"/>
      <c r="AA26" s="89"/>
      <c r="AB26" s="90"/>
      <c r="AC26" s="91"/>
      <c r="AD26" s="91"/>
    </row>
    <row r="27" spans="1:34" ht="14.5" x14ac:dyDescent="0.35">
      <c r="G27" s="84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1"/>
      <c r="AD27" s="91"/>
    </row>
    <row r="29" spans="1:34" ht="14.5" x14ac:dyDescent="0.35">
      <c r="S29" s="48" t="s">
        <v>78</v>
      </c>
      <c r="T29" s="48"/>
      <c r="U29" s="48"/>
      <c r="V29" s="48"/>
      <c r="W29" s="48"/>
      <c r="X29" s="48"/>
      <c r="Y29" s="48"/>
      <c r="Z29" s="48"/>
      <c r="AA29" s="48"/>
      <c r="AB29" s="92"/>
    </row>
    <row r="30" spans="1:34" ht="14.5" x14ac:dyDescent="0.35">
      <c r="S30" s="89" t="s">
        <v>64</v>
      </c>
      <c r="T30" s="89"/>
      <c r="U30" s="89"/>
      <c r="V30" s="89"/>
      <c r="W30" s="89"/>
      <c r="X30" s="89"/>
      <c r="Y30" s="89"/>
      <c r="Z30" s="89"/>
      <c r="AA30" s="89"/>
      <c r="AB30" s="90"/>
    </row>
    <row r="31" spans="1:34" ht="14.5" x14ac:dyDescent="0.35">
      <c r="S31" s="89" t="s">
        <v>79</v>
      </c>
      <c r="T31" s="89"/>
      <c r="U31" s="89"/>
      <c r="V31" s="89"/>
      <c r="W31" s="89"/>
      <c r="X31" s="89"/>
      <c r="Y31" s="89"/>
      <c r="Z31" s="89"/>
      <c r="AA31" s="89"/>
      <c r="AB31" s="90"/>
    </row>
  </sheetData>
  <mergeCells count="102">
    <mergeCell ref="S30:AA30"/>
    <mergeCell ref="S31:AA31"/>
    <mergeCell ref="AD16:AD17"/>
    <mergeCell ref="AE16:AE17"/>
    <mergeCell ref="U24:AA24"/>
    <mergeCell ref="S25:AA25"/>
    <mergeCell ref="S26:AA26"/>
    <mergeCell ref="S29:AA29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6:T17"/>
    <mergeCell ref="U16:U17"/>
    <mergeCell ref="V16:V17"/>
    <mergeCell ref="W16:W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AA14:AA15"/>
    <mergeCell ref="AB14:AB15"/>
    <mergeCell ref="AC14:AC15"/>
    <mergeCell ref="AD14:AD15"/>
    <mergeCell ref="AE14:AE15"/>
    <mergeCell ref="A16:A17"/>
    <mergeCell ref="B16:B17"/>
    <mergeCell ref="C16:C17"/>
    <mergeCell ref="D16:D17"/>
    <mergeCell ref="E16:E17"/>
    <mergeCell ref="U14:U15"/>
    <mergeCell ref="V14:V15"/>
    <mergeCell ref="W14:W15"/>
    <mergeCell ref="X14:X15"/>
    <mergeCell ref="Y14:Y15"/>
    <mergeCell ref="Z14:Z15"/>
    <mergeCell ref="O14:O15"/>
    <mergeCell ref="P14:P15"/>
    <mergeCell ref="Q14:Q15"/>
    <mergeCell ref="R14:R15"/>
    <mergeCell ref="S14:S15"/>
    <mergeCell ref="T14:T15"/>
    <mergeCell ref="I14:I15"/>
    <mergeCell ref="J14:J15"/>
    <mergeCell ref="K14:K15"/>
    <mergeCell ref="L14:L15"/>
    <mergeCell ref="M14:M15"/>
    <mergeCell ref="N14:N15"/>
    <mergeCell ref="Z6:AA6"/>
    <mergeCell ref="AB6:AC6"/>
    <mergeCell ref="A14:A15"/>
    <mergeCell ref="B14:B15"/>
    <mergeCell ref="C14:C15"/>
    <mergeCell ref="D14:D15"/>
    <mergeCell ref="E14:E15"/>
    <mergeCell ref="F14:F15"/>
    <mergeCell ref="G14:G15"/>
    <mergeCell ref="H14:H15"/>
    <mergeCell ref="N6:O6"/>
    <mergeCell ref="P6:Q6"/>
    <mergeCell ref="R6:S6"/>
    <mergeCell ref="T6:U6"/>
    <mergeCell ref="V6:W6"/>
    <mergeCell ref="X6:Y6"/>
    <mergeCell ref="X5:Y5"/>
    <mergeCell ref="Z5:AA5"/>
    <mergeCell ref="AB5:AC5"/>
    <mergeCell ref="AD5:AD7"/>
    <mergeCell ref="AE5:AE7"/>
    <mergeCell ref="D6:E6"/>
    <mergeCell ref="F6:G6"/>
    <mergeCell ref="H6:I6"/>
    <mergeCell ref="J6:K6"/>
    <mergeCell ref="L6:M6"/>
    <mergeCell ref="L5:M5"/>
    <mergeCell ref="N5:O5"/>
    <mergeCell ref="P5:Q5"/>
    <mergeCell ref="R5:S5"/>
    <mergeCell ref="T5:U5"/>
    <mergeCell ref="V5:W5"/>
    <mergeCell ref="A1:AE1"/>
    <mergeCell ref="A2:AE2"/>
    <mergeCell ref="A3:AE3"/>
    <mergeCell ref="A4:AE4"/>
    <mergeCell ref="A5:A7"/>
    <mergeCell ref="C5:C7"/>
    <mergeCell ref="D5:E5"/>
    <mergeCell ref="F5:G5"/>
    <mergeCell ref="H5:I5"/>
    <mergeCell ref="J5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B35D4-939C-4E37-BFAA-5A709311DA05}">
  <dimension ref="A1:W160"/>
  <sheetViews>
    <sheetView zoomScale="60" zoomScaleNormal="60" workbookViewId="0">
      <selection sqref="A1:XFD1048576"/>
    </sheetView>
  </sheetViews>
  <sheetFormatPr defaultRowHeight="13" x14ac:dyDescent="0.3"/>
  <cols>
    <col min="1" max="1" width="5.69921875" customWidth="1"/>
    <col min="2" max="2" width="38" customWidth="1"/>
    <col min="3" max="3" width="20.59765625" customWidth="1"/>
    <col min="4" max="4" width="29.5" customWidth="1"/>
    <col min="5" max="5" width="19.296875" customWidth="1"/>
    <col min="6" max="18" width="7.3984375" customWidth="1"/>
    <col min="19" max="19" width="36.296875" customWidth="1"/>
    <col min="20" max="20" width="12.69921875" bestFit="1" customWidth="1"/>
    <col min="21" max="21" width="12.69921875" customWidth="1"/>
    <col min="22" max="22" width="11.59765625" bestFit="1" customWidth="1"/>
  </cols>
  <sheetData>
    <row r="1" spans="1:22" ht="26.5" customHeight="1" x14ac:dyDescent="0.65">
      <c r="A1" s="93" t="s">
        <v>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</row>
    <row r="2" spans="1:22" ht="22" x14ac:dyDescent="0.65">
      <c r="A2" s="93" t="s">
        <v>80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pans="1:22" ht="14.5" x14ac:dyDescent="0.35">
      <c r="A3" s="89" t="s">
        <v>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22" ht="14.5" x14ac:dyDescent="0.35">
      <c r="A4" s="90"/>
      <c r="B4" s="90"/>
      <c r="C4" s="90"/>
      <c r="D4" s="90"/>
    </row>
    <row r="5" spans="1:22" ht="14.5" x14ac:dyDescent="0.35">
      <c r="A5" s="90"/>
      <c r="B5" s="90"/>
      <c r="C5" s="90"/>
      <c r="D5" s="90"/>
    </row>
    <row r="7" spans="1:22" ht="18.5" x14ac:dyDescent="0.4">
      <c r="A7" s="94" t="s">
        <v>81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</row>
    <row r="8" spans="1:22" ht="18.5" x14ac:dyDescent="0.4">
      <c r="A8" s="94" t="s">
        <v>82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5"/>
    </row>
    <row r="10" spans="1:22" ht="17" x14ac:dyDescent="0.3">
      <c r="A10" s="96" t="s">
        <v>83</v>
      </c>
      <c r="B10" s="96" t="s">
        <v>84</v>
      </c>
      <c r="C10" s="96" t="s">
        <v>85</v>
      </c>
      <c r="D10" s="97" t="s">
        <v>86</v>
      </c>
      <c r="E10" s="98" t="s">
        <v>87</v>
      </c>
      <c r="F10" s="99" t="s">
        <v>88</v>
      </c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 t="s">
        <v>20</v>
      </c>
      <c r="S10" s="100" t="s">
        <v>89</v>
      </c>
    </row>
    <row r="11" spans="1:22" ht="15" customHeight="1" x14ac:dyDescent="0.3">
      <c r="A11" s="101"/>
      <c r="B11" s="101"/>
      <c r="C11" s="101"/>
      <c r="D11" s="102"/>
      <c r="E11" s="103"/>
      <c r="F11" s="104" t="s">
        <v>90</v>
      </c>
      <c r="G11" s="105" t="s">
        <v>91</v>
      </c>
      <c r="H11" s="106" t="s">
        <v>92</v>
      </c>
      <c r="I11" s="107" t="s">
        <v>93</v>
      </c>
      <c r="J11" s="106" t="s">
        <v>0</v>
      </c>
      <c r="K11" s="107" t="s">
        <v>94</v>
      </c>
      <c r="L11" s="104" t="s">
        <v>95</v>
      </c>
      <c r="M11" s="107" t="s">
        <v>96</v>
      </c>
      <c r="N11" s="108" t="s">
        <v>97</v>
      </c>
      <c r="O11" s="106" t="s">
        <v>98</v>
      </c>
      <c r="P11" s="108" t="s">
        <v>99</v>
      </c>
      <c r="Q11" s="104" t="s">
        <v>100</v>
      </c>
      <c r="R11" s="109"/>
      <c r="S11" s="110"/>
      <c r="T11" s="111">
        <v>250000</v>
      </c>
      <c r="U11" s="111"/>
    </row>
    <row r="12" spans="1:22" ht="15" customHeight="1" thickBot="1" x14ac:dyDescent="0.35">
      <c r="A12" s="101"/>
      <c r="B12" s="101"/>
      <c r="C12" s="101"/>
      <c r="D12" s="102"/>
      <c r="E12" s="103"/>
      <c r="F12" s="112"/>
      <c r="G12" s="113"/>
      <c r="H12" s="114"/>
      <c r="I12" s="115"/>
      <c r="J12" s="114"/>
      <c r="K12" s="115"/>
      <c r="L12" s="112"/>
      <c r="M12" s="115"/>
      <c r="N12" s="116"/>
      <c r="O12" s="114"/>
      <c r="P12" s="116"/>
      <c r="Q12" s="112"/>
      <c r="R12" s="117"/>
      <c r="S12" s="110"/>
      <c r="T12" s="111">
        <f>SUM(T13:T130)</f>
        <v>253979</v>
      </c>
      <c r="U12" s="111"/>
      <c r="V12" s="118">
        <f>+T11-T12</f>
        <v>-3979</v>
      </c>
    </row>
    <row r="13" spans="1:22" ht="35" customHeight="1" x14ac:dyDescent="0.3">
      <c r="A13" s="119">
        <v>1</v>
      </c>
      <c r="B13" s="120" t="s">
        <v>101</v>
      </c>
      <c r="C13" s="121" t="s">
        <v>102</v>
      </c>
      <c r="D13" s="122" t="s">
        <v>103</v>
      </c>
      <c r="E13" s="123" t="s">
        <v>104</v>
      </c>
      <c r="F13" s="124">
        <f>30*31</f>
        <v>930</v>
      </c>
      <c r="G13" s="125">
        <f>15*30</f>
        <v>450</v>
      </c>
      <c r="H13" s="125">
        <f>22*31</f>
        <v>682</v>
      </c>
      <c r="I13" s="124">
        <f>55*31</f>
        <v>1705</v>
      </c>
      <c r="J13" s="125">
        <f>20*31</f>
        <v>620</v>
      </c>
      <c r="K13" s="124">
        <f>50*30</f>
        <v>1500</v>
      </c>
      <c r="L13" s="124">
        <v>500</v>
      </c>
      <c r="M13" s="124">
        <v>624</v>
      </c>
      <c r="N13" s="125">
        <v>496</v>
      </c>
      <c r="O13" s="125">
        <v>511</v>
      </c>
      <c r="P13" s="125">
        <v>500</v>
      </c>
      <c r="Q13" s="124">
        <f>55*31</f>
        <v>1705</v>
      </c>
      <c r="R13" s="124">
        <f>SUM(F13:Q13)</f>
        <v>10223</v>
      </c>
      <c r="S13" s="126"/>
      <c r="T13">
        <f>SUM(F13:Q13)</f>
        <v>10223</v>
      </c>
      <c r="V13">
        <f>+V12/40</f>
        <v>-99.474999999999994</v>
      </c>
    </row>
    <row r="14" spans="1:22" ht="35" customHeight="1" thickBot="1" x14ac:dyDescent="0.35">
      <c r="A14" s="127"/>
      <c r="B14" s="128"/>
      <c r="C14" s="129"/>
      <c r="D14" s="130"/>
      <c r="E14" s="131" t="s">
        <v>105</v>
      </c>
      <c r="F14" s="132"/>
      <c r="G14" s="133"/>
      <c r="H14" s="133"/>
      <c r="I14" s="132"/>
      <c r="J14" s="133"/>
      <c r="K14" s="132"/>
      <c r="L14" s="132"/>
      <c r="M14" s="132"/>
      <c r="N14" s="133"/>
      <c r="O14" s="133"/>
      <c r="P14" s="133"/>
      <c r="Q14" s="132"/>
      <c r="R14" s="132">
        <f>SUM(F14:Q14)</f>
        <v>0</v>
      </c>
      <c r="S14" s="134"/>
    </row>
    <row r="15" spans="1:22" ht="35" customHeight="1" x14ac:dyDescent="0.3">
      <c r="A15" s="119">
        <f>+A13+1</f>
        <v>2</v>
      </c>
      <c r="B15" s="120" t="s">
        <v>106</v>
      </c>
      <c r="C15" s="121" t="s">
        <v>107</v>
      </c>
      <c r="D15" s="122" t="s">
        <v>103</v>
      </c>
      <c r="E15" s="123" t="s">
        <v>104</v>
      </c>
      <c r="F15" s="124">
        <f>60*4</f>
        <v>240</v>
      </c>
      <c r="G15" s="125">
        <f>25*4</f>
        <v>100</v>
      </c>
      <c r="H15" s="125">
        <v>280</v>
      </c>
      <c r="I15" s="124">
        <f>40*8</f>
        <v>320</v>
      </c>
      <c r="J15" s="125">
        <f>17*40</f>
        <v>680</v>
      </c>
      <c r="K15" s="124">
        <v>180</v>
      </c>
      <c r="L15" s="124">
        <v>210</v>
      </c>
      <c r="M15" s="124">
        <f>15*8</f>
        <v>120</v>
      </c>
      <c r="N15" s="125">
        <v>81</v>
      </c>
      <c r="O15" s="125">
        <v>62</v>
      </c>
      <c r="P15" s="125">
        <v>85</v>
      </c>
      <c r="Q15" s="124">
        <v>210</v>
      </c>
      <c r="R15" s="124">
        <f t="shared" ref="R15:R78" si="0">SUM(F15:Q15)</f>
        <v>2568</v>
      </c>
      <c r="S15" s="126"/>
      <c r="T15">
        <f>SUM(F15:Q15)</f>
        <v>2568</v>
      </c>
    </row>
    <row r="16" spans="1:22" ht="35" customHeight="1" thickBot="1" x14ac:dyDescent="0.35">
      <c r="A16" s="127"/>
      <c r="B16" s="128"/>
      <c r="C16" s="129"/>
      <c r="D16" s="130"/>
      <c r="E16" s="131" t="s">
        <v>105</v>
      </c>
      <c r="F16" s="132"/>
      <c r="G16" s="133"/>
      <c r="H16" s="133"/>
      <c r="I16" s="132"/>
      <c r="J16" s="133"/>
      <c r="K16" s="132"/>
      <c r="L16" s="132"/>
      <c r="M16" s="132"/>
      <c r="N16" s="133"/>
      <c r="O16" s="133"/>
      <c r="P16" s="133"/>
      <c r="Q16" s="132"/>
      <c r="R16" s="132">
        <f t="shared" si="0"/>
        <v>0</v>
      </c>
      <c r="S16" s="134"/>
    </row>
    <row r="17" spans="1:20" ht="35" customHeight="1" x14ac:dyDescent="0.3">
      <c r="A17" s="135">
        <f>+A15+1</f>
        <v>3</v>
      </c>
      <c r="B17" s="136" t="s">
        <v>108</v>
      </c>
      <c r="C17" s="137" t="s">
        <v>109</v>
      </c>
      <c r="D17" s="138" t="s">
        <v>103</v>
      </c>
      <c r="E17" s="139" t="s">
        <v>104</v>
      </c>
      <c r="F17" s="124">
        <v>146</v>
      </c>
      <c r="G17" s="140">
        <v>38</v>
      </c>
      <c r="H17" s="140">
        <v>66</v>
      </c>
      <c r="I17" s="124">
        <v>270</v>
      </c>
      <c r="J17" s="140">
        <v>444</v>
      </c>
      <c r="K17" s="124">
        <v>51</v>
      </c>
      <c r="L17" s="124">
        <v>150</v>
      </c>
      <c r="M17" s="124">
        <v>49</v>
      </c>
      <c r="N17" s="140">
        <v>35</v>
      </c>
      <c r="O17" s="140">
        <v>29</v>
      </c>
      <c r="P17" s="140">
        <v>21</v>
      </c>
      <c r="Q17" s="124">
        <v>13</v>
      </c>
      <c r="R17" s="124">
        <f t="shared" si="0"/>
        <v>1312</v>
      </c>
      <c r="S17" s="141" t="s">
        <v>110</v>
      </c>
      <c r="T17">
        <f>SUM(F17:Q17)</f>
        <v>1312</v>
      </c>
    </row>
    <row r="18" spans="1:20" ht="35" customHeight="1" thickBot="1" x14ac:dyDescent="0.35">
      <c r="A18" s="142"/>
      <c r="B18" s="143"/>
      <c r="C18" s="144"/>
      <c r="D18" s="145"/>
      <c r="E18" s="146" t="s">
        <v>105</v>
      </c>
      <c r="F18" s="132"/>
      <c r="G18" s="147"/>
      <c r="H18" s="147"/>
      <c r="I18" s="132"/>
      <c r="J18" s="147"/>
      <c r="K18" s="132"/>
      <c r="L18" s="132"/>
      <c r="M18" s="132"/>
      <c r="N18" s="147"/>
      <c r="O18" s="147"/>
      <c r="P18" s="147"/>
      <c r="Q18" s="132"/>
      <c r="R18" s="132">
        <f t="shared" si="0"/>
        <v>0</v>
      </c>
      <c r="S18" s="148"/>
    </row>
    <row r="19" spans="1:20" ht="35" customHeight="1" x14ac:dyDescent="0.3">
      <c r="A19" s="119">
        <f t="shared" ref="A19" si="1">+A17+1</f>
        <v>4</v>
      </c>
      <c r="B19" s="120" t="s">
        <v>111</v>
      </c>
      <c r="C19" s="121" t="s">
        <v>102</v>
      </c>
      <c r="D19" s="122" t="s">
        <v>112</v>
      </c>
      <c r="E19" s="123" t="s">
        <v>104</v>
      </c>
      <c r="F19" s="149">
        <f>153*4</f>
        <v>612</v>
      </c>
      <c r="G19" s="150">
        <v>110</v>
      </c>
      <c r="H19" s="150">
        <v>199</v>
      </c>
      <c r="I19" s="149">
        <f>175*4</f>
        <v>700</v>
      </c>
      <c r="J19" s="150">
        <f>65*4</f>
        <v>260</v>
      </c>
      <c r="K19" s="149">
        <f>125*4</f>
        <v>500</v>
      </c>
      <c r="L19" s="149">
        <f>155*4</f>
        <v>620</v>
      </c>
      <c r="M19" s="149">
        <f t="shared" ref="M19" si="2">25*4</f>
        <v>100</v>
      </c>
      <c r="N19" s="150">
        <v>111</v>
      </c>
      <c r="O19" s="150">
        <v>135</v>
      </c>
      <c r="P19" s="150">
        <v>140</v>
      </c>
      <c r="Q19" s="149">
        <f>185*4</f>
        <v>740</v>
      </c>
      <c r="R19" s="124">
        <f t="shared" si="0"/>
        <v>4227</v>
      </c>
      <c r="S19" s="126"/>
      <c r="T19">
        <f>SUM(F19:Q19)</f>
        <v>4227</v>
      </c>
    </row>
    <row r="20" spans="1:20" ht="35" customHeight="1" thickBot="1" x14ac:dyDescent="0.35">
      <c r="A20" s="127"/>
      <c r="B20" s="128"/>
      <c r="C20" s="129"/>
      <c r="D20" s="130"/>
      <c r="E20" s="131" t="s">
        <v>105</v>
      </c>
      <c r="F20" s="151"/>
      <c r="G20" s="152"/>
      <c r="H20" s="152"/>
      <c r="I20" s="151"/>
      <c r="J20" s="152"/>
      <c r="K20" s="151"/>
      <c r="L20" s="151"/>
      <c r="M20" s="151"/>
      <c r="N20" s="152"/>
      <c r="O20" s="152"/>
      <c r="P20" s="152"/>
      <c r="Q20" s="151"/>
      <c r="R20" s="132">
        <f t="shared" si="0"/>
        <v>0</v>
      </c>
      <c r="S20" s="134"/>
    </row>
    <row r="21" spans="1:20" ht="35" customHeight="1" x14ac:dyDescent="0.3">
      <c r="A21" s="119">
        <f t="shared" ref="A21" si="3">+A19+1</f>
        <v>5</v>
      </c>
      <c r="B21" s="120" t="s">
        <v>113</v>
      </c>
      <c r="C21" s="121" t="s">
        <v>102</v>
      </c>
      <c r="D21" s="122" t="s">
        <v>112</v>
      </c>
      <c r="E21" s="123" t="s">
        <v>104</v>
      </c>
      <c r="F21" s="149">
        <v>100</v>
      </c>
      <c r="G21" s="150">
        <v>50</v>
      </c>
      <c r="H21" s="150">
        <v>135</v>
      </c>
      <c r="I21" s="149">
        <v>250</v>
      </c>
      <c r="J21" s="150">
        <v>60</v>
      </c>
      <c r="K21" s="149">
        <v>120</v>
      </c>
      <c r="L21" s="149">
        <v>200</v>
      </c>
      <c r="M21" s="149">
        <v>155</v>
      </c>
      <c r="N21" s="150">
        <v>140</v>
      </c>
      <c r="O21" s="150">
        <v>160</v>
      </c>
      <c r="P21" s="150">
        <v>111</v>
      </c>
      <c r="Q21" s="149">
        <v>130</v>
      </c>
      <c r="R21" s="124">
        <f t="shared" si="0"/>
        <v>1611</v>
      </c>
      <c r="S21" s="126"/>
      <c r="T21">
        <f>SUM(F21:Q21)</f>
        <v>1611</v>
      </c>
    </row>
    <row r="22" spans="1:20" ht="35" customHeight="1" thickBot="1" x14ac:dyDescent="0.35">
      <c r="A22" s="127"/>
      <c r="B22" s="128"/>
      <c r="C22" s="129"/>
      <c r="D22" s="130"/>
      <c r="E22" s="131" t="s">
        <v>105</v>
      </c>
      <c r="F22" s="151"/>
      <c r="G22" s="152"/>
      <c r="H22" s="152"/>
      <c r="I22" s="151"/>
      <c r="J22" s="152"/>
      <c r="K22" s="151"/>
      <c r="L22" s="151"/>
      <c r="M22" s="151"/>
      <c r="N22" s="152"/>
      <c r="O22" s="152"/>
      <c r="P22" s="152"/>
      <c r="Q22" s="151"/>
      <c r="R22" s="132">
        <f t="shared" si="0"/>
        <v>0</v>
      </c>
      <c r="S22" s="134"/>
    </row>
    <row r="23" spans="1:20" ht="35" customHeight="1" x14ac:dyDescent="0.3">
      <c r="A23" s="119">
        <f t="shared" ref="A23" si="4">+A21+1</f>
        <v>6</v>
      </c>
      <c r="B23" s="120" t="s">
        <v>114</v>
      </c>
      <c r="C23" s="121" t="s">
        <v>115</v>
      </c>
      <c r="D23" s="122" t="s">
        <v>116</v>
      </c>
      <c r="E23" s="123" t="s">
        <v>104</v>
      </c>
      <c r="F23" s="149">
        <v>210</v>
      </c>
      <c r="G23" s="150"/>
      <c r="H23" s="150"/>
      <c r="I23" s="149">
        <v>150</v>
      </c>
      <c r="J23" s="150"/>
      <c r="K23" s="149">
        <v>250</v>
      </c>
      <c r="L23" s="149">
        <v>341</v>
      </c>
      <c r="M23" s="149">
        <v>511</v>
      </c>
      <c r="N23" s="150"/>
      <c r="O23" s="150"/>
      <c r="P23" s="150"/>
      <c r="Q23" s="149"/>
      <c r="R23" s="124">
        <f t="shared" si="0"/>
        <v>1462</v>
      </c>
      <c r="S23" s="126"/>
      <c r="T23">
        <f>SUM(F23:Q23)</f>
        <v>1462</v>
      </c>
    </row>
    <row r="24" spans="1:20" ht="35" customHeight="1" thickBot="1" x14ac:dyDescent="0.35">
      <c r="A24" s="127"/>
      <c r="B24" s="128"/>
      <c r="C24" s="129"/>
      <c r="D24" s="130"/>
      <c r="E24" s="131" t="s">
        <v>105</v>
      </c>
      <c r="F24" s="151"/>
      <c r="G24" s="152"/>
      <c r="H24" s="152"/>
      <c r="I24" s="151"/>
      <c r="J24" s="152"/>
      <c r="K24" s="151"/>
      <c r="L24" s="151"/>
      <c r="M24" s="151"/>
      <c r="N24" s="152"/>
      <c r="O24" s="152"/>
      <c r="P24" s="152"/>
      <c r="Q24" s="151"/>
      <c r="R24" s="132">
        <f t="shared" si="0"/>
        <v>0</v>
      </c>
      <c r="S24" s="134"/>
    </row>
    <row r="25" spans="1:20" ht="35" customHeight="1" x14ac:dyDescent="0.3">
      <c r="A25" s="119">
        <f t="shared" ref="A25" si="5">+A23+1</f>
        <v>7</v>
      </c>
      <c r="B25" s="120" t="s">
        <v>117</v>
      </c>
      <c r="C25" s="121" t="s">
        <v>118</v>
      </c>
      <c r="D25" s="122" t="s">
        <v>119</v>
      </c>
      <c r="E25" s="123" t="s">
        <v>104</v>
      </c>
      <c r="F25" s="149">
        <f>140*10</f>
        <v>1400</v>
      </c>
      <c r="G25" s="150">
        <v>123</v>
      </c>
      <c r="H25" s="150">
        <v>120</v>
      </c>
      <c r="I25" s="149">
        <f>160*8</f>
        <v>1280</v>
      </c>
      <c r="J25" s="150">
        <v>241</v>
      </c>
      <c r="K25" s="149">
        <f>65*2*4</f>
        <v>520</v>
      </c>
      <c r="L25" s="149">
        <f>55*10</f>
        <v>550</v>
      </c>
      <c r="M25" s="149">
        <f>20*10</f>
        <v>200</v>
      </c>
      <c r="N25" s="153">
        <v>1500</v>
      </c>
      <c r="O25" s="150">
        <f>20*7</f>
        <v>140</v>
      </c>
      <c r="P25" s="150">
        <f>20*8</f>
        <v>160</v>
      </c>
      <c r="Q25" s="149">
        <f>155*10</f>
        <v>1550</v>
      </c>
      <c r="R25" s="124">
        <f t="shared" si="0"/>
        <v>7784</v>
      </c>
      <c r="S25" s="154" t="s">
        <v>120</v>
      </c>
      <c r="T25">
        <f>SUM(F25:Q25)</f>
        <v>7784</v>
      </c>
    </row>
    <row r="26" spans="1:20" ht="35" customHeight="1" thickBot="1" x14ac:dyDescent="0.35">
      <c r="A26" s="127"/>
      <c r="B26" s="128"/>
      <c r="C26" s="129"/>
      <c r="D26" s="130"/>
      <c r="E26" s="131" t="s">
        <v>105</v>
      </c>
      <c r="F26" s="151"/>
      <c r="G26" s="152"/>
      <c r="H26" s="152"/>
      <c r="I26" s="151"/>
      <c r="J26" s="152"/>
      <c r="K26" s="151"/>
      <c r="L26" s="151"/>
      <c r="M26" s="151"/>
      <c r="N26" s="155"/>
      <c r="O26" s="152"/>
      <c r="P26" s="152"/>
      <c r="Q26" s="151"/>
      <c r="R26" s="132">
        <f t="shared" si="0"/>
        <v>0</v>
      </c>
      <c r="S26" s="156"/>
    </row>
    <row r="27" spans="1:20" ht="35" customHeight="1" x14ac:dyDescent="0.3">
      <c r="A27" s="119">
        <f t="shared" ref="A27" si="6">+A25+1</f>
        <v>8</v>
      </c>
      <c r="B27" s="120" t="s">
        <v>121</v>
      </c>
      <c r="C27" s="121" t="s">
        <v>122</v>
      </c>
      <c r="D27" s="122" t="s">
        <v>119</v>
      </c>
      <c r="E27" s="123" t="s">
        <v>104</v>
      </c>
      <c r="F27" s="149">
        <f>93*10</f>
        <v>930</v>
      </c>
      <c r="G27" s="150">
        <v>250</v>
      </c>
      <c r="H27" s="150">
        <v>110</v>
      </c>
      <c r="I27" s="149">
        <v>1200</v>
      </c>
      <c r="J27" s="150">
        <v>300</v>
      </c>
      <c r="K27" s="149">
        <f>185*2*4</f>
        <v>1480</v>
      </c>
      <c r="L27" s="149">
        <f>175*10</f>
        <v>1750</v>
      </c>
      <c r="M27" s="149">
        <v>350</v>
      </c>
      <c r="N27" s="153">
        <v>3500</v>
      </c>
      <c r="O27" s="150">
        <v>200</v>
      </c>
      <c r="P27" s="150">
        <v>400</v>
      </c>
      <c r="Q27" s="149">
        <f>160*10</f>
        <v>1600</v>
      </c>
      <c r="R27" s="124">
        <f t="shared" si="0"/>
        <v>12070</v>
      </c>
      <c r="S27" s="154" t="s">
        <v>120</v>
      </c>
      <c r="T27">
        <f>SUM(F27:Q27)</f>
        <v>12070</v>
      </c>
    </row>
    <row r="28" spans="1:20" ht="35" customHeight="1" thickBot="1" x14ac:dyDescent="0.35">
      <c r="A28" s="127"/>
      <c r="B28" s="128"/>
      <c r="C28" s="129"/>
      <c r="D28" s="130"/>
      <c r="E28" s="131" t="s">
        <v>105</v>
      </c>
      <c r="F28" s="151"/>
      <c r="G28" s="152"/>
      <c r="H28" s="152"/>
      <c r="I28" s="151"/>
      <c r="J28" s="152"/>
      <c r="K28" s="151"/>
      <c r="L28" s="151"/>
      <c r="M28" s="151"/>
      <c r="N28" s="155"/>
      <c r="O28" s="152"/>
      <c r="P28" s="152"/>
      <c r="Q28" s="151"/>
      <c r="R28" s="132">
        <f t="shared" si="0"/>
        <v>0</v>
      </c>
      <c r="S28" s="156"/>
    </row>
    <row r="29" spans="1:20" ht="35" customHeight="1" x14ac:dyDescent="0.3">
      <c r="A29" s="119">
        <f t="shared" ref="A29" si="7">+A27+1</f>
        <v>9</v>
      </c>
      <c r="B29" s="120" t="s">
        <v>123</v>
      </c>
      <c r="C29" s="121" t="s">
        <v>124</v>
      </c>
      <c r="D29" s="122" t="s">
        <v>119</v>
      </c>
      <c r="E29" s="123" t="s">
        <v>104</v>
      </c>
      <c r="F29" s="149">
        <f>130*10</f>
        <v>1300</v>
      </c>
      <c r="G29" s="150">
        <v>123</v>
      </c>
      <c r="H29" s="150">
        <v>120</v>
      </c>
      <c r="I29" s="149">
        <f>150*8</f>
        <v>1200</v>
      </c>
      <c r="J29" s="150">
        <v>241</v>
      </c>
      <c r="K29" s="149">
        <f>65*2*4</f>
        <v>520</v>
      </c>
      <c r="L29" s="149">
        <f>55*10</f>
        <v>550</v>
      </c>
      <c r="M29" s="149">
        <f>20*10</f>
        <v>200</v>
      </c>
      <c r="N29" s="153">
        <v>1250</v>
      </c>
      <c r="O29" s="150">
        <f>20*7</f>
        <v>140</v>
      </c>
      <c r="P29" s="150">
        <f>20*8</f>
        <v>160</v>
      </c>
      <c r="Q29" s="149">
        <f>140*10</f>
        <v>1400</v>
      </c>
      <c r="R29" s="124">
        <f t="shared" si="0"/>
        <v>7204</v>
      </c>
      <c r="S29" s="154" t="s">
        <v>120</v>
      </c>
      <c r="T29">
        <f>SUM(F29:Q29)</f>
        <v>7204</v>
      </c>
    </row>
    <row r="30" spans="1:20" ht="35" customHeight="1" thickBot="1" x14ac:dyDescent="0.35">
      <c r="A30" s="127"/>
      <c r="B30" s="128"/>
      <c r="C30" s="129"/>
      <c r="D30" s="130"/>
      <c r="E30" s="131" t="s">
        <v>105</v>
      </c>
      <c r="F30" s="151"/>
      <c r="G30" s="152"/>
      <c r="H30" s="152"/>
      <c r="I30" s="151"/>
      <c r="J30" s="152"/>
      <c r="K30" s="151"/>
      <c r="L30" s="151"/>
      <c r="M30" s="151"/>
      <c r="N30" s="155"/>
      <c r="O30" s="152"/>
      <c r="P30" s="152"/>
      <c r="Q30" s="151"/>
      <c r="R30" s="132">
        <f t="shared" si="0"/>
        <v>0</v>
      </c>
      <c r="S30" s="156"/>
    </row>
    <row r="31" spans="1:20" ht="35" customHeight="1" x14ac:dyDescent="0.3">
      <c r="A31" s="119">
        <f t="shared" ref="A31" si="8">+A29+1</f>
        <v>10</v>
      </c>
      <c r="B31" s="120" t="s">
        <v>125</v>
      </c>
      <c r="C31" s="121" t="s">
        <v>126</v>
      </c>
      <c r="D31" s="122" t="s">
        <v>119</v>
      </c>
      <c r="E31" s="123" t="s">
        <v>104</v>
      </c>
      <c r="F31" s="149">
        <f>142*10</f>
        <v>1420</v>
      </c>
      <c r="G31" s="150">
        <v>130</v>
      </c>
      <c r="H31" s="150">
        <v>141</v>
      </c>
      <c r="I31" s="149">
        <f>166*8</f>
        <v>1328</v>
      </c>
      <c r="J31" s="150">
        <v>240</v>
      </c>
      <c r="K31" s="149">
        <f>166*2*4</f>
        <v>1328</v>
      </c>
      <c r="L31" s="149">
        <f>58*10</f>
        <v>580</v>
      </c>
      <c r="M31" s="149">
        <f>10*10</f>
        <v>100</v>
      </c>
      <c r="N31" s="150">
        <v>400</v>
      </c>
      <c r="O31" s="150">
        <f>26*7</f>
        <v>182</v>
      </c>
      <c r="P31" s="150">
        <f>29*8</f>
        <v>232</v>
      </c>
      <c r="Q31" s="149">
        <f>150*10</f>
        <v>1500</v>
      </c>
      <c r="R31" s="124">
        <f t="shared" si="0"/>
        <v>7581</v>
      </c>
      <c r="S31" s="126"/>
      <c r="T31">
        <f>SUM(F31:Q31)</f>
        <v>7581</v>
      </c>
    </row>
    <row r="32" spans="1:20" ht="35" customHeight="1" thickBot="1" x14ac:dyDescent="0.35">
      <c r="A32" s="127"/>
      <c r="B32" s="128"/>
      <c r="C32" s="129"/>
      <c r="D32" s="130"/>
      <c r="E32" s="131" t="s">
        <v>105</v>
      </c>
      <c r="F32" s="151"/>
      <c r="G32" s="152"/>
      <c r="H32" s="152"/>
      <c r="I32" s="151"/>
      <c r="J32" s="152"/>
      <c r="K32" s="151"/>
      <c r="L32" s="151"/>
      <c r="M32" s="151"/>
      <c r="N32" s="152"/>
      <c r="O32" s="152"/>
      <c r="P32" s="152"/>
      <c r="Q32" s="151"/>
      <c r="R32" s="132">
        <f t="shared" si="0"/>
        <v>0</v>
      </c>
      <c r="S32" s="134"/>
    </row>
    <row r="33" spans="1:21" ht="35" customHeight="1" x14ac:dyDescent="0.3">
      <c r="A33" s="119">
        <f t="shared" ref="A33" si="9">+A31+1</f>
        <v>11</v>
      </c>
      <c r="B33" s="120" t="s">
        <v>127</v>
      </c>
      <c r="C33" s="121" t="s">
        <v>128</v>
      </c>
      <c r="D33" s="122" t="s">
        <v>119</v>
      </c>
      <c r="E33" s="123" t="s">
        <v>104</v>
      </c>
      <c r="F33" s="149">
        <f>125*10</f>
        <v>1250</v>
      </c>
      <c r="G33" s="150">
        <v>120</v>
      </c>
      <c r="H33" s="150">
        <v>120</v>
      </c>
      <c r="I33" s="149">
        <f>121*8</f>
        <v>968</v>
      </c>
      <c r="J33" s="150">
        <v>250</v>
      </c>
      <c r="K33" s="149">
        <f>67*2*4</f>
        <v>536</v>
      </c>
      <c r="L33" s="149">
        <f>60*10</f>
        <v>600</v>
      </c>
      <c r="M33" s="149">
        <f>20*10</f>
        <v>200</v>
      </c>
      <c r="N33" s="150">
        <v>500</v>
      </c>
      <c r="O33" s="150">
        <f>24*7</f>
        <v>168</v>
      </c>
      <c r="P33" s="150">
        <f>30*8</f>
        <v>240</v>
      </c>
      <c r="Q33" s="149">
        <f>160*10</f>
        <v>1600</v>
      </c>
      <c r="R33" s="124">
        <f t="shared" si="0"/>
        <v>6552</v>
      </c>
      <c r="S33" s="126"/>
      <c r="T33">
        <f>SUM(F33:Q33)</f>
        <v>6552</v>
      </c>
    </row>
    <row r="34" spans="1:21" ht="35" customHeight="1" thickBot="1" x14ac:dyDescent="0.35">
      <c r="A34" s="127"/>
      <c r="B34" s="128"/>
      <c r="C34" s="129"/>
      <c r="D34" s="130"/>
      <c r="E34" s="131" t="s">
        <v>105</v>
      </c>
      <c r="F34" s="151"/>
      <c r="G34" s="152"/>
      <c r="H34" s="152"/>
      <c r="I34" s="151"/>
      <c r="J34" s="152"/>
      <c r="K34" s="151"/>
      <c r="L34" s="151"/>
      <c r="M34" s="151"/>
      <c r="N34" s="152"/>
      <c r="O34" s="152"/>
      <c r="P34" s="152"/>
      <c r="Q34" s="151"/>
      <c r="R34" s="132">
        <f t="shared" si="0"/>
        <v>0</v>
      </c>
      <c r="S34" s="134"/>
    </row>
    <row r="35" spans="1:21" ht="35" customHeight="1" x14ac:dyDescent="0.3">
      <c r="A35" s="119">
        <f t="shared" ref="A35" si="10">+A33+1</f>
        <v>12</v>
      </c>
      <c r="B35" s="120" t="s">
        <v>129</v>
      </c>
      <c r="C35" s="121" t="s">
        <v>130</v>
      </c>
      <c r="D35" s="122" t="s">
        <v>119</v>
      </c>
      <c r="E35" s="123" t="s">
        <v>104</v>
      </c>
      <c r="F35" s="149">
        <f>164*10</f>
        <v>1640</v>
      </c>
      <c r="G35" s="150">
        <v>133</v>
      </c>
      <c r="H35" s="150">
        <v>120</v>
      </c>
      <c r="I35" s="149">
        <f>163*8</f>
        <v>1304</v>
      </c>
      <c r="J35" s="150">
        <v>230</v>
      </c>
      <c r="K35" s="149">
        <f>168*2*4</f>
        <v>1344</v>
      </c>
      <c r="L35" s="149">
        <f>165*10</f>
        <v>1650</v>
      </c>
      <c r="M35" s="149">
        <f>21*10</f>
        <v>210</v>
      </c>
      <c r="N35" s="150">
        <v>350</v>
      </c>
      <c r="O35" s="150">
        <f>27*7</f>
        <v>189</v>
      </c>
      <c r="P35" s="150">
        <f>28*8</f>
        <v>224</v>
      </c>
      <c r="Q35" s="149">
        <f>197*10</f>
        <v>1970</v>
      </c>
      <c r="R35" s="124">
        <f t="shared" si="0"/>
        <v>9364</v>
      </c>
      <c r="S35" s="126"/>
      <c r="T35">
        <f>SUM(F35:Q35)</f>
        <v>9364</v>
      </c>
    </row>
    <row r="36" spans="1:21" ht="35" customHeight="1" thickBot="1" x14ac:dyDescent="0.35">
      <c r="A36" s="127"/>
      <c r="B36" s="128"/>
      <c r="C36" s="129"/>
      <c r="D36" s="130"/>
      <c r="E36" s="131" t="s">
        <v>105</v>
      </c>
      <c r="F36" s="151"/>
      <c r="G36" s="152"/>
      <c r="H36" s="152"/>
      <c r="I36" s="151"/>
      <c r="J36" s="152"/>
      <c r="K36" s="151"/>
      <c r="L36" s="151"/>
      <c r="M36" s="151"/>
      <c r="N36" s="152"/>
      <c r="O36" s="152"/>
      <c r="P36" s="152"/>
      <c r="Q36" s="151"/>
      <c r="R36" s="132">
        <f t="shared" si="0"/>
        <v>0</v>
      </c>
      <c r="S36" s="134"/>
    </row>
    <row r="37" spans="1:21" ht="35" customHeight="1" x14ac:dyDescent="0.3">
      <c r="A37" s="119">
        <f t="shared" ref="A37" si="11">+A35+1</f>
        <v>13</v>
      </c>
      <c r="B37" s="120" t="s">
        <v>131</v>
      </c>
      <c r="C37" s="121" t="s">
        <v>115</v>
      </c>
      <c r="D37" s="122" t="s">
        <v>132</v>
      </c>
      <c r="E37" s="123" t="s">
        <v>104</v>
      </c>
      <c r="F37" s="149">
        <v>129</v>
      </c>
      <c r="G37" s="150"/>
      <c r="H37" s="150"/>
      <c r="I37" s="149">
        <v>211</v>
      </c>
      <c r="J37" s="150"/>
      <c r="K37" s="149">
        <v>130</v>
      </c>
      <c r="L37" s="149">
        <v>150</v>
      </c>
      <c r="M37" s="149">
        <v>141</v>
      </c>
      <c r="N37" s="150"/>
      <c r="O37" s="150"/>
      <c r="P37" s="150"/>
      <c r="Q37" s="149"/>
      <c r="R37" s="124">
        <f t="shared" si="0"/>
        <v>761</v>
      </c>
      <c r="S37" s="126"/>
      <c r="T37">
        <f>SUM(F37:Q37)</f>
        <v>761</v>
      </c>
    </row>
    <row r="38" spans="1:21" ht="35" customHeight="1" thickBot="1" x14ac:dyDescent="0.35">
      <c r="A38" s="127"/>
      <c r="B38" s="128"/>
      <c r="C38" s="129"/>
      <c r="D38" s="130"/>
      <c r="E38" s="131" t="s">
        <v>105</v>
      </c>
      <c r="F38" s="151"/>
      <c r="G38" s="152"/>
      <c r="H38" s="152"/>
      <c r="I38" s="151"/>
      <c r="J38" s="152"/>
      <c r="K38" s="151"/>
      <c r="L38" s="151"/>
      <c r="M38" s="151"/>
      <c r="N38" s="152"/>
      <c r="O38" s="152"/>
      <c r="P38" s="152"/>
      <c r="Q38" s="151"/>
      <c r="R38" s="132">
        <f t="shared" si="0"/>
        <v>0</v>
      </c>
      <c r="S38" s="134"/>
    </row>
    <row r="39" spans="1:21" ht="35" customHeight="1" x14ac:dyDescent="0.3">
      <c r="A39" s="119">
        <f t="shared" ref="A39" si="12">+A37+1</f>
        <v>14</v>
      </c>
      <c r="B39" s="120" t="s">
        <v>133</v>
      </c>
      <c r="C39" s="121" t="s">
        <v>115</v>
      </c>
      <c r="D39" s="122" t="s">
        <v>134</v>
      </c>
      <c r="E39" s="123" t="s">
        <v>104</v>
      </c>
      <c r="F39" s="149"/>
      <c r="G39" s="150"/>
      <c r="H39" s="150"/>
      <c r="I39" s="149">
        <v>3500</v>
      </c>
      <c r="J39" s="150"/>
      <c r="K39" s="149"/>
      <c r="L39" s="149"/>
      <c r="M39" s="149"/>
      <c r="N39" s="150"/>
      <c r="O39" s="150"/>
      <c r="P39" s="150"/>
      <c r="Q39" s="149"/>
      <c r="R39" s="124">
        <f t="shared" si="0"/>
        <v>3500</v>
      </c>
      <c r="S39" s="154" t="s">
        <v>135</v>
      </c>
      <c r="T39">
        <f>SUM(F39:Q39)</f>
        <v>3500</v>
      </c>
    </row>
    <row r="40" spans="1:21" ht="35" customHeight="1" thickBot="1" x14ac:dyDescent="0.35">
      <c r="A40" s="127"/>
      <c r="B40" s="128"/>
      <c r="C40" s="129"/>
      <c r="D40" s="130"/>
      <c r="E40" s="131" t="s">
        <v>105</v>
      </c>
      <c r="F40" s="151"/>
      <c r="G40" s="152"/>
      <c r="H40" s="152"/>
      <c r="I40" s="151"/>
      <c r="J40" s="152"/>
      <c r="K40" s="151"/>
      <c r="L40" s="151"/>
      <c r="M40" s="151"/>
      <c r="N40" s="152"/>
      <c r="O40" s="152"/>
      <c r="P40" s="152"/>
      <c r="Q40" s="151"/>
      <c r="R40" s="132">
        <f t="shared" si="0"/>
        <v>0</v>
      </c>
      <c r="S40" s="156"/>
    </row>
    <row r="41" spans="1:21" ht="35" customHeight="1" x14ac:dyDescent="0.3">
      <c r="A41" s="119">
        <f t="shared" ref="A41" si="13">+A39+1</f>
        <v>15</v>
      </c>
      <c r="B41" s="120" t="s">
        <v>136</v>
      </c>
      <c r="C41" s="121" t="s">
        <v>137</v>
      </c>
      <c r="D41" s="122" t="s">
        <v>138</v>
      </c>
      <c r="E41" s="123" t="s">
        <v>104</v>
      </c>
      <c r="F41" s="149">
        <f>8*150</f>
        <v>1200</v>
      </c>
      <c r="G41" s="150">
        <v>133</v>
      </c>
      <c r="H41" s="150">
        <v>120</v>
      </c>
      <c r="I41" s="149">
        <f>160*8</f>
        <v>1280</v>
      </c>
      <c r="J41" s="150">
        <v>230</v>
      </c>
      <c r="K41" s="149">
        <f>164*8</f>
        <v>1312</v>
      </c>
      <c r="L41" s="149">
        <f>61*8</f>
        <v>488</v>
      </c>
      <c r="M41" s="149">
        <v>200</v>
      </c>
      <c r="N41" s="150">
        <v>110</v>
      </c>
      <c r="O41" s="150">
        <v>170</v>
      </c>
      <c r="P41" s="150">
        <v>220</v>
      </c>
      <c r="Q41" s="149">
        <f>170*8</f>
        <v>1360</v>
      </c>
      <c r="R41" s="124">
        <f t="shared" si="0"/>
        <v>6823</v>
      </c>
      <c r="S41" s="126"/>
      <c r="T41">
        <f>SUM(F41:Q41)</f>
        <v>6823</v>
      </c>
    </row>
    <row r="42" spans="1:21" ht="35" customHeight="1" thickBot="1" x14ac:dyDescent="0.35">
      <c r="A42" s="127"/>
      <c r="B42" s="128"/>
      <c r="C42" s="129"/>
      <c r="D42" s="130"/>
      <c r="E42" s="131" t="s">
        <v>105</v>
      </c>
      <c r="F42" s="151"/>
      <c r="G42" s="152"/>
      <c r="H42" s="152"/>
      <c r="I42" s="151"/>
      <c r="J42" s="152"/>
      <c r="K42" s="151"/>
      <c r="L42" s="151"/>
      <c r="M42" s="151"/>
      <c r="N42" s="152"/>
      <c r="O42" s="152"/>
      <c r="P42" s="152"/>
      <c r="Q42" s="151"/>
      <c r="R42" s="132">
        <f t="shared" si="0"/>
        <v>0</v>
      </c>
      <c r="S42" s="134"/>
    </row>
    <row r="43" spans="1:21" ht="35" customHeight="1" x14ac:dyDescent="0.3">
      <c r="A43" s="119">
        <f t="shared" ref="A43" si="14">+A41+1</f>
        <v>16</v>
      </c>
      <c r="B43" s="120" t="s">
        <v>139</v>
      </c>
      <c r="C43" s="121" t="s">
        <v>137</v>
      </c>
      <c r="D43" s="122" t="s">
        <v>138</v>
      </c>
      <c r="E43" s="123" t="s">
        <v>104</v>
      </c>
      <c r="F43" s="149">
        <v>150</v>
      </c>
      <c r="G43" s="150">
        <v>75</v>
      </c>
      <c r="H43" s="150">
        <v>80</v>
      </c>
      <c r="I43" s="149">
        <v>330</v>
      </c>
      <c r="J43" s="150">
        <v>130</v>
      </c>
      <c r="K43" s="149">
        <v>140</v>
      </c>
      <c r="L43" s="149">
        <v>120</v>
      </c>
      <c r="M43" s="149">
        <f>21*8</f>
        <v>168</v>
      </c>
      <c r="N43" s="150">
        <v>108</v>
      </c>
      <c r="O43" s="150">
        <v>106</v>
      </c>
      <c r="P43" s="150">
        <v>204</v>
      </c>
      <c r="Q43" s="149">
        <v>506</v>
      </c>
      <c r="R43" s="124">
        <f t="shared" si="0"/>
        <v>2117</v>
      </c>
      <c r="S43" s="126"/>
      <c r="T43">
        <f>SUM(F43:Q43)</f>
        <v>2117</v>
      </c>
    </row>
    <row r="44" spans="1:21" ht="35" customHeight="1" thickBot="1" x14ac:dyDescent="0.35">
      <c r="A44" s="127"/>
      <c r="B44" s="128"/>
      <c r="C44" s="129"/>
      <c r="D44" s="130"/>
      <c r="E44" s="131" t="s">
        <v>105</v>
      </c>
      <c r="F44" s="151"/>
      <c r="G44" s="152"/>
      <c r="H44" s="152"/>
      <c r="I44" s="151"/>
      <c r="J44" s="152"/>
      <c r="K44" s="151"/>
      <c r="L44" s="151"/>
      <c r="M44" s="151"/>
      <c r="N44" s="152"/>
      <c r="O44" s="152"/>
      <c r="P44" s="152"/>
      <c r="Q44" s="151"/>
      <c r="R44" s="132">
        <f t="shared" si="0"/>
        <v>0</v>
      </c>
      <c r="S44" s="134"/>
    </row>
    <row r="45" spans="1:21" ht="35" customHeight="1" x14ac:dyDescent="0.3">
      <c r="A45" s="119">
        <f t="shared" ref="A45" si="15">+A43+1</f>
        <v>17</v>
      </c>
      <c r="B45" s="120" t="s">
        <v>140</v>
      </c>
      <c r="C45" s="121" t="s">
        <v>141</v>
      </c>
      <c r="D45" s="122" t="s">
        <v>142</v>
      </c>
      <c r="E45" s="123" t="s">
        <v>104</v>
      </c>
      <c r="F45" s="149">
        <v>104</v>
      </c>
      <c r="G45" s="150">
        <v>80</v>
      </c>
      <c r="H45" s="150">
        <v>66</v>
      </c>
      <c r="I45" s="149">
        <v>103</v>
      </c>
      <c r="J45" s="150">
        <v>30</v>
      </c>
      <c r="K45" s="149">
        <v>115</v>
      </c>
      <c r="L45" s="149">
        <v>211</v>
      </c>
      <c r="M45" s="149">
        <v>68</v>
      </c>
      <c r="N45" s="150">
        <v>80</v>
      </c>
      <c r="O45" s="150">
        <v>26</v>
      </c>
      <c r="P45" s="150">
        <v>75</v>
      </c>
      <c r="Q45" s="149">
        <v>111</v>
      </c>
      <c r="R45" s="124">
        <f t="shared" si="0"/>
        <v>1069</v>
      </c>
      <c r="S45" s="157"/>
      <c r="T45">
        <f>SUM(F45:Q45)</f>
        <v>1069</v>
      </c>
    </row>
    <row r="46" spans="1:21" ht="35" customHeight="1" thickBot="1" x14ac:dyDescent="0.35">
      <c r="A46" s="127"/>
      <c r="B46" s="128"/>
      <c r="C46" s="129"/>
      <c r="D46" s="130"/>
      <c r="E46" s="131" t="s">
        <v>105</v>
      </c>
      <c r="F46" s="151">
        <v>35</v>
      </c>
      <c r="G46" s="152"/>
      <c r="H46" s="152"/>
      <c r="I46" s="151"/>
      <c r="J46" s="152"/>
      <c r="K46" s="151"/>
      <c r="L46" s="151"/>
      <c r="M46" s="151">
        <v>13</v>
      </c>
      <c r="N46" s="152"/>
      <c r="O46" s="152"/>
      <c r="P46" s="152"/>
      <c r="Q46" s="151">
        <v>10</v>
      </c>
      <c r="R46" s="132">
        <f t="shared" si="0"/>
        <v>58</v>
      </c>
      <c r="S46" s="158"/>
      <c r="U46">
        <f>SUM(F46:Q46)</f>
        <v>58</v>
      </c>
    </row>
    <row r="47" spans="1:21" ht="35" customHeight="1" x14ac:dyDescent="0.3">
      <c r="A47" s="119">
        <f t="shared" ref="A47" si="16">+A45+1</f>
        <v>18</v>
      </c>
      <c r="B47" s="120" t="s">
        <v>143</v>
      </c>
      <c r="C47" s="121" t="s">
        <v>144</v>
      </c>
      <c r="D47" s="122" t="s">
        <v>145</v>
      </c>
      <c r="E47" s="123" t="s">
        <v>104</v>
      </c>
      <c r="F47" s="149">
        <f>55*31</f>
        <v>1705</v>
      </c>
      <c r="G47" s="150">
        <f>20*31</f>
        <v>620</v>
      </c>
      <c r="H47" s="150">
        <f>22*31</f>
        <v>682</v>
      </c>
      <c r="I47" s="149">
        <f>63*31</f>
        <v>1953</v>
      </c>
      <c r="J47" s="150">
        <f>21*31</f>
        <v>651</v>
      </c>
      <c r="K47" s="149">
        <f>68*31</f>
        <v>2108</v>
      </c>
      <c r="L47" s="149">
        <f>65*31</f>
        <v>2015</v>
      </c>
      <c r="M47" s="149">
        <f>21*31</f>
        <v>651</v>
      </c>
      <c r="N47" s="150">
        <f>26*31</f>
        <v>806</v>
      </c>
      <c r="O47" s="150">
        <f>27*31</f>
        <v>837</v>
      </c>
      <c r="P47" s="150">
        <f>28*31</f>
        <v>868</v>
      </c>
      <c r="Q47" s="149">
        <f>70*31</f>
        <v>2170</v>
      </c>
      <c r="R47" s="124">
        <f t="shared" si="0"/>
        <v>15066</v>
      </c>
      <c r="S47" s="126"/>
      <c r="T47">
        <f>SUM(F47:Q47)</f>
        <v>15066</v>
      </c>
    </row>
    <row r="48" spans="1:21" ht="35" customHeight="1" thickBot="1" x14ac:dyDescent="0.35">
      <c r="A48" s="127"/>
      <c r="B48" s="128"/>
      <c r="C48" s="129"/>
      <c r="D48" s="130"/>
      <c r="E48" s="131" t="s">
        <v>105</v>
      </c>
      <c r="F48" s="151"/>
      <c r="G48" s="152"/>
      <c r="H48" s="152"/>
      <c r="I48" s="151"/>
      <c r="J48" s="152"/>
      <c r="K48" s="151"/>
      <c r="L48" s="151"/>
      <c r="M48" s="151"/>
      <c r="N48" s="152"/>
      <c r="O48" s="152"/>
      <c r="P48" s="152"/>
      <c r="Q48" s="151"/>
      <c r="R48" s="132">
        <f t="shared" si="0"/>
        <v>0</v>
      </c>
      <c r="S48" s="134"/>
    </row>
    <row r="49" spans="1:23" ht="35" customHeight="1" x14ac:dyDescent="0.3">
      <c r="A49" s="119">
        <f t="shared" ref="A49" si="17">+A47+1</f>
        <v>19</v>
      </c>
      <c r="B49" s="159" t="s">
        <v>146</v>
      </c>
      <c r="C49" s="121" t="s">
        <v>137</v>
      </c>
      <c r="D49" s="160" t="s">
        <v>147</v>
      </c>
      <c r="E49" s="123" t="s">
        <v>104</v>
      </c>
      <c r="F49" s="149">
        <f>45*10</f>
        <v>450</v>
      </c>
      <c r="G49" s="150">
        <v>140</v>
      </c>
      <c r="H49" s="150">
        <v>125</v>
      </c>
      <c r="I49" s="149">
        <f>63*10</f>
        <v>630</v>
      </c>
      <c r="J49" s="150">
        <v>230</v>
      </c>
      <c r="K49" s="149">
        <f>68*8</f>
        <v>544</v>
      </c>
      <c r="L49" s="149">
        <f>65*8</f>
        <v>520</v>
      </c>
      <c r="M49" s="149">
        <f>21*8</f>
        <v>168</v>
      </c>
      <c r="N49" s="150">
        <f>26*8</f>
        <v>208</v>
      </c>
      <c r="O49" s="150">
        <f>27*8</f>
        <v>216</v>
      </c>
      <c r="P49" s="150">
        <f>28*8</f>
        <v>224</v>
      </c>
      <c r="Q49" s="149">
        <f>70*8</f>
        <v>560</v>
      </c>
      <c r="R49" s="124">
        <f t="shared" si="0"/>
        <v>4015</v>
      </c>
      <c r="S49" s="157"/>
      <c r="T49">
        <f>SUM(F49:Q49)</f>
        <v>4015</v>
      </c>
      <c r="V49" s="161" t="s">
        <v>148</v>
      </c>
      <c r="W49" s="161" t="s">
        <v>149</v>
      </c>
    </row>
    <row r="50" spans="1:23" ht="35" customHeight="1" thickBot="1" x14ac:dyDescent="0.35">
      <c r="A50" s="127"/>
      <c r="B50" s="162"/>
      <c r="C50" s="129"/>
      <c r="D50" s="163"/>
      <c r="E50" s="131" t="s">
        <v>105</v>
      </c>
      <c r="F50" s="151">
        <v>0</v>
      </c>
      <c r="G50" s="152"/>
      <c r="H50" s="152"/>
      <c r="I50" s="151"/>
      <c r="J50" s="152"/>
      <c r="K50" s="151"/>
      <c r="L50" s="151"/>
      <c r="M50" s="151">
        <v>0</v>
      </c>
      <c r="N50" s="152"/>
      <c r="O50" s="152"/>
      <c r="P50" s="152"/>
      <c r="Q50" s="151">
        <v>0</v>
      </c>
      <c r="R50" s="132">
        <f t="shared" si="0"/>
        <v>0</v>
      </c>
      <c r="S50" s="158"/>
      <c r="T50">
        <f>SUM(F50:Q50)</f>
        <v>0</v>
      </c>
      <c r="W50" s="161" t="s">
        <v>150</v>
      </c>
    </row>
    <row r="51" spans="1:23" ht="35" customHeight="1" x14ac:dyDescent="0.3">
      <c r="A51" s="119">
        <f t="shared" ref="A51" si="18">+A49+1</f>
        <v>20</v>
      </c>
      <c r="B51" s="159" t="s">
        <v>151</v>
      </c>
      <c r="C51" s="121" t="s">
        <v>152</v>
      </c>
      <c r="D51" s="160" t="s">
        <v>153</v>
      </c>
      <c r="E51" s="123" t="s">
        <v>104</v>
      </c>
      <c r="F51" s="149">
        <f>41*9</f>
        <v>369</v>
      </c>
      <c r="G51" s="150">
        <v>134</v>
      </c>
      <c r="H51" s="150">
        <v>121</v>
      </c>
      <c r="I51" s="149">
        <f>63*9</f>
        <v>567</v>
      </c>
      <c r="J51" s="150">
        <v>231</v>
      </c>
      <c r="K51" s="149">
        <f>68*9</f>
        <v>612</v>
      </c>
      <c r="L51" s="149">
        <f>65*9</f>
        <v>585</v>
      </c>
      <c r="M51" s="149">
        <f>21*9</f>
        <v>189</v>
      </c>
      <c r="N51" s="150">
        <f>26*9</f>
        <v>234</v>
      </c>
      <c r="O51" s="150">
        <f>27*9</f>
        <v>243</v>
      </c>
      <c r="P51" s="150">
        <f>28*9</f>
        <v>252</v>
      </c>
      <c r="Q51" s="149">
        <f>70*9</f>
        <v>630</v>
      </c>
      <c r="R51" s="124">
        <f t="shared" si="0"/>
        <v>4167</v>
      </c>
      <c r="S51" s="157"/>
      <c r="T51">
        <f>SUM(F51:Q51)</f>
        <v>4167</v>
      </c>
      <c r="W51" s="161" t="s">
        <v>154</v>
      </c>
    </row>
    <row r="52" spans="1:23" ht="35" customHeight="1" thickBot="1" x14ac:dyDescent="0.35">
      <c r="A52" s="127"/>
      <c r="B52" s="162"/>
      <c r="C52" s="129"/>
      <c r="D52" s="163"/>
      <c r="E52" s="131" t="s">
        <v>105</v>
      </c>
      <c r="F52" s="151">
        <v>96</v>
      </c>
      <c r="G52" s="152"/>
      <c r="H52" s="152"/>
      <c r="I52" s="151"/>
      <c r="J52" s="152"/>
      <c r="K52" s="151"/>
      <c r="L52" s="151"/>
      <c r="M52" s="151">
        <v>73</v>
      </c>
      <c r="N52" s="152"/>
      <c r="O52" s="152"/>
      <c r="P52" s="152"/>
      <c r="Q52" s="151">
        <v>33</v>
      </c>
      <c r="R52" s="132">
        <f t="shared" si="0"/>
        <v>202</v>
      </c>
      <c r="S52" s="158"/>
      <c r="U52">
        <f>SUM(F52:Q52)</f>
        <v>202</v>
      </c>
      <c r="W52" s="161" t="s">
        <v>155</v>
      </c>
    </row>
    <row r="53" spans="1:23" ht="35" customHeight="1" x14ac:dyDescent="0.3">
      <c r="A53" s="119">
        <f t="shared" ref="A53:A57" si="19">+A51+1</f>
        <v>21</v>
      </c>
      <c r="B53" s="120" t="s">
        <v>156</v>
      </c>
      <c r="C53" s="121" t="s">
        <v>157</v>
      </c>
      <c r="D53" s="164" t="s">
        <v>158</v>
      </c>
      <c r="E53" s="123" t="s">
        <v>104</v>
      </c>
      <c r="F53" s="149">
        <f>131*11</f>
        <v>1441</v>
      </c>
      <c r="G53" s="125"/>
      <c r="H53" s="125"/>
      <c r="I53" s="149">
        <f>143*11</f>
        <v>1573</v>
      </c>
      <c r="J53" s="150">
        <v>233</v>
      </c>
      <c r="K53" s="149">
        <f>136*11</f>
        <v>1496</v>
      </c>
      <c r="L53" s="149">
        <f>65*11</f>
        <v>715</v>
      </c>
      <c r="M53" s="149">
        <f>21*11</f>
        <v>231</v>
      </c>
      <c r="N53" s="150">
        <f>26*11</f>
        <v>286</v>
      </c>
      <c r="O53" s="150">
        <f>27*11</f>
        <v>297</v>
      </c>
      <c r="P53" s="150">
        <f>28*11</f>
        <v>308</v>
      </c>
      <c r="Q53" s="149">
        <f>163*11</f>
        <v>1793</v>
      </c>
      <c r="R53" s="124">
        <f t="shared" si="0"/>
        <v>8373</v>
      </c>
      <c r="S53" s="157"/>
      <c r="T53">
        <f>SUM(F53:Q53)</f>
        <v>8373</v>
      </c>
    </row>
    <row r="54" spans="1:23" ht="35" customHeight="1" thickBot="1" x14ac:dyDescent="0.35">
      <c r="A54" s="127"/>
      <c r="B54" s="128"/>
      <c r="C54" s="129"/>
      <c r="D54" s="165"/>
      <c r="E54" s="131" t="s">
        <v>105</v>
      </c>
      <c r="F54" s="151"/>
      <c r="G54" s="133"/>
      <c r="H54" s="133"/>
      <c r="I54" s="151"/>
      <c r="J54" s="152"/>
      <c r="K54" s="151"/>
      <c r="L54" s="151"/>
      <c r="M54" s="151"/>
      <c r="N54" s="152"/>
      <c r="O54" s="152"/>
      <c r="P54" s="152"/>
      <c r="Q54" s="151"/>
      <c r="R54" s="132">
        <f t="shared" si="0"/>
        <v>0</v>
      </c>
      <c r="S54" s="158"/>
    </row>
    <row r="55" spans="1:23" ht="35" customHeight="1" x14ac:dyDescent="0.3">
      <c r="A55" s="119">
        <f t="shared" si="19"/>
        <v>22</v>
      </c>
      <c r="B55" s="166" t="s">
        <v>159</v>
      </c>
      <c r="C55" s="167" t="s">
        <v>160</v>
      </c>
      <c r="D55" s="164" t="s">
        <v>158</v>
      </c>
      <c r="E55" s="123" t="s">
        <v>104</v>
      </c>
      <c r="F55" s="168">
        <v>600</v>
      </c>
      <c r="G55" s="123">
        <v>310</v>
      </c>
      <c r="H55" s="123">
        <v>300</v>
      </c>
      <c r="I55" s="168">
        <v>520</v>
      </c>
      <c r="J55" s="123">
        <v>250</v>
      </c>
      <c r="K55" s="168">
        <v>680</v>
      </c>
      <c r="L55" s="168">
        <v>487</v>
      </c>
      <c r="M55" s="168">
        <v>400</v>
      </c>
      <c r="N55" s="123">
        <v>200</v>
      </c>
      <c r="O55" s="123">
        <v>230</v>
      </c>
      <c r="P55" s="123">
        <v>310</v>
      </c>
      <c r="Q55" s="149">
        <v>650</v>
      </c>
      <c r="R55" s="124">
        <f t="shared" si="0"/>
        <v>4937</v>
      </c>
      <c r="S55" s="169"/>
      <c r="T55">
        <f>SUM(F55:Q55)</f>
        <v>4937</v>
      </c>
    </row>
    <row r="56" spans="1:23" ht="35" customHeight="1" thickBot="1" x14ac:dyDescent="0.35">
      <c r="A56" s="127"/>
      <c r="B56" s="170"/>
      <c r="C56" s="171"/>
      <c r="D56" s="165"/>
      <c r="E56" s="131" t="s">
        <v>105</v>
      </c>
      <c r="F56" s="151"/>
      <c r="G56" s="133"/>
      <c r="H56" s="133"/>
      <c r="I56" s="151"/>
      <c r="J56" s="152"/>
      <c r="K56" s="151"/>
      <c r="L56" s="151"/>
      <c r="M56" s="151"/>
      <c r="N56" s="152"/>
      <c r="O56" s="152"/>
      <c r="P56" s="152"/>
      <c r="Q56" s="151"/>
      <c r="R56" s="132">
        <f t="shared" si="0"/>
        <v>0</v>
      </c>
      <c r="S56" s="169"/>
    </row>
    <row r="57" spans="1:23" ht="35" customHeight="1" x14ac:dyDescent="0.3">
      <c r="A57" s="119">
        <f t="shared" si="19"/>
        <v>23</v>
      </c>
      <c r="B57" s="120" t="s">
        <v>161</v>
      </c>
      <c r="C57" s="121" t="s">
        <v>162</v>
      </c>
      <c r="D57" s="122" t="s">
        <v>163</v>
      </c>
      <c r="E57" s="123" t="s">
        <v>104</v>
      </c>
      <c r="F57" s="149">
        <f>141*12</f>
        <v>1692</v>
      </c>
      <c r="G57" s="150">
        <v>100</v>
      </c>
      <c r="H57" s="150">
        <v>131</v>
      </c>
      <c r="I57" s="149">
        <f>163*12</f>
        <v>1956</v>
      </c>
      <c r="J57" s="150">
        <v>235</v>
      </c>
      <c r="K57" s="149">
        <f>68*12</f>
        <v>816</v>
      </c>
      <c r="L57" s="149">
        <f>65*12</f>
        <v>780</v>
      </c>
      <c r="M57" s="149">
        <f>21*12</f>
        <v>252</v>
      </c>
      <c r="N57" s="150">
        <f>26*12</f>
        <v>312</v>
      </c>
      <c r="O57" s="150">
        <f>27*12</f>
        <v>324</v>
      </c>
      <c r="P57" s="150">
        <f>28*12</f>
        <v>336</v>
      </c>
      <c r="Q57" s="149">
        <f>130*12</f>
        <v>1560</v>
      </c>
      <c r="R57" s="124">
        <f t="shared" si="0"/>
        <v>8494</v>
      </c>
      <c r="S57" s="126"/>
      <c r="T57">
        <f>SUM(F57:Q57)</f>
        <v>8494</v>
      </c>
    </row>
    <row r="58" spans="1:23" ht="35" customHeight="1" thickBot="1" x14ac:dyDescent="0.35">
      <c r="A58" s="127"/>
      <c r="B58" s="128"/>
      <c r="C58" s="129"/>
      <c r="D58" s="130"/>
      <c r="E58" s="131" t="s">
        <v>105</v>
      </c>
      <c r="F58" s="151"/>
      <c r="G58" s="152"/>
      <c r="H58" s="152"/>
      <c r="I58" s="151"/>
      <c r="J58" s="152"/>
      <c r="K58" s="151"/>
      <c r="L58" s="151"/>
      <c r="M58" s="151"/>
      <c r="N58" s="152"/>
      <c r="O58" s="152"/>
      <c r="P58" s="152"/>
      <c r="Q58" s="151"/>
      <c r="R58" s="132">
        <f t="shared" si="0"/>
        <v>0</v>
      </c>
      <c r="S58" s="134"/>
    </row>
    <row r="59" spans="1:23" ht="35" customHeight="1" x14ac:dyDescent="0.3">
      <c r="A59" s="119">
        <f t="shared" ref="A59" si="20">+A57+1</f>
        <v>24</v>
      </c>
      <c r="B59" s="120" t="s">
        <v>164</v>
      </c>
      <c r="C59" s="172" t="s">
        <v>165</v>
      </c>
      <c r="D59" s="122" t="s">
        <v>166</v>
      </c>
      <c r="E59" s="123" t="s">
        <v>104</v>
      </c>
      <c r="F59" s="149">
        <f>41*9</f>
        <v>369</v>
      </c>
      <c r="G59" s="150">
        <v>134</v>
      </c>
      <c r="H59" s="150">
        <v>121</v>
      </c>
      <c r="I59" s="149">
        <f>63*9</f>
        <v>567</v>
      </c>
      <c r="J59" s="150">
        <v>231</v>
      </c>
      <c r="K59" s="149">
        <f>68*9</f>
        <v>612</v>
      </c>
      <c r="L59" s="149">
        <f>65*9</f>
        <v>585</v>
      </c>
      <c r="M59" s="149">
        <f>21*9</f>
        <v>189</v>
      </c>
      <c r="N59" s="150">
        <f>26*9</f>
        <v>234</v>
      </c>
      <c r="O59" s="150">
        <f>27*9</f>
        <v>243</v>
      </c>
      <c r="P59" s="150">
        <f>28*9</f>
        <v>252</v>
      </c>
      <c r="Q59" s="149">
        <f>70*9</f>
        <v>630</v>
      </c>
      <c r="R59" s="124">
        <f t="shared" si="0"/>
        <v>4167</v>
      </c>
      <c r="S59" s="126"/>
      <c r="T59">
        <f>SUM(F59:Q59)</f>
        <v>4167</v>
      </c>
    </row>
    <row r="60" spans="1:23" ht="35" customHeight="1" thickBot="1" x14ac:dyDescent="0.35">
      <c r="A60" s="127"/>
      <c r="B60" s="128"/>
      <c r="C60" s="173"/>
      <c r="D60" s="130"/>
      <c r="E60" s="131" t="s">
        <v>105</v>
      </c>
      <c r="F60" s="151"/>
      <c r="G60" s="152"/>
      <c r="H60" s="152"/>
      <c r="I60" s="151"/>
      <c r="J60" s="152"/>
      <c r="K60" s="151"/>
      <c r="L60" s="151"/>
      <c r="M60" s="151"/>
      <c r="N60" s="152"/>
      <c r="O60" s="152"/>
      <c r="P60" s="152"/>
      <c r="Q60" s="151"/>
      <c r="R60" s="132">
        <f t="shared" si="0"/>
        <v>0</v>
      </c>
      <c r="S60" s="134"/>
    </row>
    <row r="61" spans="1:23" ht="35" customHeight="1" x14ac:dyDescent="0.3">
      <c r="A61" s="119">
        <f t="shared" ref="A61" si="21">+A59+1</f>
        <v>25</v>
      </c>
      <c r="B61" s="120" t="s">
        <v>167</v>
      </c>
      <c r="C61" s="121" t="s">
        <v>102</v>
      </c>
      <c r="D61" s="122" t="s">
        <v>168</v>
      </c>
      <c r="E61" s="123" t="s">
        <v>104</v>
      </c>
      <c r="F61" s="149">
        <v>3500</v>
      </c>
      <c r="G61" s="150"/>
      <c r="H61" s="150"/>
      <c r="I61" s="149">
        <f>21*9</f>
        <v>189</v>
      </c>
      <c r="J61" s="150"/>
      <c r="K61" s="149">
        <v>110</v>
      </c>
      <c r="L61" s="149">
        <v>121</v>
      </c>
      <c r="M61" s="149"/>
      <c r="N61" s="150"/>
      <c r="O61" s="150"/>
      <c r="P61" s="150"/>
      <c r="Q61" s="149">
        <v>430</v>
      </c>
      <c r="R61" s="124">
        <f t="shared" si="0"/>
        <v>4350</v>
      </c>
      <c r="S61" s="154" t="s">
        <v>169</v>
      </c>
      <c r="T61">
        <f>SUM(F61:Q61)</f>
        <v>4350</v>
      </c>
    </row>
    <row r="62" spans="1:23" ht="35" customHeight="1" thickBot="1" x14ac:dyDescent="0.35">
      <c r="A62" s="127"/>
      <c r="B62" s="128"/>
      <c r="C62" s="129"/>
      <c r="D62" s="130"/>
      <c r="E62" s="131" t="s">
        <v>105</v>
      </c>
      <c r="F62" s="151"/>
      <c r="G62" s="152"/>
      <c r="H62" s="152"/>
      <c r="I62" s="151"/>
      <c r="J62" s="152"/>
      <c r="K62" s="151"/>
      <c r="L62" s="151"/>
      <c r="M62" s="151"/>
      <c r="N62" s="152"/>
      <c r="O62" s="152"/>
      <c r="P62" s="152"/>
      <c r="Q62" s="151"/>
      <c r="R62" s="132">
        <f t="shared" si="0"/>
        <v>0</v>
      </c>
      <c r="S62" s="156"/>
    </row>
    <row r="63" spans="1:23" ht="35" customHeight="1" x14ac:dyDescent="0.3">
      <c r="A63" s="119">
        <f t="shared" ref="A63" si="22">+A61+1</f>
        <v>26</v>
      </c>
      <c r="B63" s="120" t="s">
        <v>28</v>
      </c>
      <c r="C63" s="121" t="s">
        <v>170</v>
      </c>
      <c r="D63" s="122" t="s">
        <v>171</v>
      </c>
      <c r="E63" s="123" t="s">
        <v>104</v>
      </c>
      <c r="F63" s="149">
        <f>175*8</f>
        <v>1400</v>
      </c>
      <c r="G63" s="150">
        <v>130</v>
      </c>
      <c r="H63" s="150">
        <v>110</v>
      </c>
      <c r="I63" s="149">
        <f>190*8</f>
        <v>1520</v>
      </c>
      <c r="J63" s="150">
        <v>234</v>
      </c>
      <c r="K63" s="149">
        <f>188*10</f>
        <v>1880</v>
      </c>
      <c r="L63" s="149">
        <f>185*10</f>
        <v>1850</v>
      </c>
      <c r="M63" s="149">
        <f>21*10</f>
        <v>210</v>
      </c>
      <c r="N63" s="150">
        <f>26*10</f>
        <v>260</v>
      </c>
      <c r="O63" s="150">
        <f>27*10</f>
        <v>270</v>
      </c>
      <c r="P63" s="150">
        <v>321</v>
      </c>
      <c r="Q63" s="149">
        <f>190*10</f>
        <v>1900</v>
      </c>
      <c r="R63" s="124">
        <f t="shared" si="0"/>
        <v>10085</v>
      </c>
      <c r="S63" s="126"/>
      <c r="T63">
        <f>SUM(F63:Q63)</f>
        <v>10085</v>
      </c>
    </row>
    <row r="64" spans="1:23" ht="35" customHeight="1" thickBot="1" x14ac:dyDescent="0.35">
      <c r="A64" s="127"/>
      <c r="B64" s="128"/>
      <c r="C64" s="129"/>
      <c r="D64" s="130"/>
      <c r="E64" s="131" t="s">
        <v>105</v>
      </c>
      <c r="F64" s="151"/>
      <c r="G64" s="152"/>
      <c r="H64" s="152"/>
      <c r="I64" s="151"/>
      <c r="J64" s="152"/>
      <c r="K64" s="151"/>
      <c r="L64" s="151"/>
      <c r="M64" s="151"/>
      <c r="N64" s="152"/>
      <c r="O64" s="152"/>
      <c r="P64" s="152"/>
      <c r="Q64" s="151"/>
      <c r="R64" s="132">
        <f t="shared" si="0"/>
        <v>0</v>
      </c>
      <c r="S64" s="134"/>
    </row>
    <row r="65" spans="1:20" ht="35" customHeight="1" x14ac:dyDescent="0.3">
      <c r="A65" s="119">
        <f t="shared" ref="A65" si="23">+A63+1</f>
        <v>27</v>
      </c>
      <c r="B65" s="120" t="s">
        <v>172</v>
      </c>
      <c r="C65" s="121" t="s">
        <v>173</v>
      </c>
      <c r="D65" s="122" t="s">
        <v>174</v>
      </c>
      <c r="E65" s="123" t="s">
        <v>104</v>
      </c>
      <c r="F65" s="149">
        <f>40*10</f>
        <v>400</v>
      </c>
      <c r="G65" s="150">
        <v>140</v>
      </c>
      <c r="H65" s="150">
        <v>177</v>
      </c>
      <c r="I65" s="149">
        <f>30*10</f>
        <v>300</v>
      </c>
      <c r="J65" s="150">
        <v>230</v>
      </c>
      <c r="K65" s="149">
        <f>65*10</f>
        <v>650</v>
      </c>
      <c r="L65" s="149">
        <f>63*10</f>
        <v>630</v>
      </c>
      <c r="M65" s="149">
        <v>200</v>
      </c>
      <c r="N65" s="150">
        <v>250</v>
      </c>
      <c r="O65" s="150">
        <v>260</v>
      </c>
      <c r="P65" s="150">
        <f>28*10</f>
        <v>280</v>
      </c>
      <c r="Q65" s="149">
        <f>75*10</f>
        <v>750</v>
      </c>
      <c r="R65" s="124">
        <f t="shared" si="0"/>
        <v>4267</v>
      </c>
      <c r="S65" s="126"/>
      <c r="T65">
        <f>SUM(F65:Q65)</f>
        <v>4267</v>
      </c>
    </row>
    <row r="66" spans="1:20" ht="35" customHeight="1" thickBot="1" x14ac:dyDescent="0.35">
      <c r="A66" s="127"/>
      <c r="B66" s="128"/>
      <c r="C66" s="129"/>
      <c r="D66" s="130"/>
      <c r="E66" s="131" t="s">
        <v>105</v>
      </c>
      <c r="F66" s="151"/>
      <c r="G66" s="152"/>
      <c r="H66" s="152"/>
      <c r="I66" s="151"/>
      <c r="J66" s="152"/>
      <c r="K66" s="151"/>
      <c r="L66" s="151"/>
      <c r="M66" s="151"/>
      <c r="N66" s="152"/>
      <c r="O66" s="152"/>
      <c r="P66" s="152"/>
      <c r="Q66" s="151"/>
      <c r="R66" s="132">
        <f t="shared" si="0"/>
        <v>0</v>
      </c>
      <c r="S66" s="134"/>
    </row>
    <row r="67" spans="1:20" ht="35" customHeight="1" x14ac:dyDescent="0.3">
      <c r="A67" s="119">
        <f t="shared" ref="A67" si="24">+A65+1</f>
        <v>28</v>
      </c>
      <c r="B67" s="120" t="s">
        <v>175</v>
      </c>
      <c r="C67" s="121" t="s">
        <v>176</v>
      </c>
      <c r="D67" s="122" t="s">
        <v>174</v>
      </c>
      <c r="E67" s="123" t="s">
        <v>104</v>
      </c>
      <c r="F67" s="149">
        <f>145*10</f>
        <v>1450</v>
      </c>
      <c r="G67" s="150">
        <v>130</v>
      </c>
      <c r="H67" s="150">
        <v>100</v>
      </c>
      <c r="I67" s="149">
        <f>163*10</f>
        <v>1630</v>
      </c>
      <c r="J67" s="150">
        <v>240</v>
      </c>
      <c r="K67" s="149">
        <f>169*10</f>
        <v>1690</v>
      </c>
      <c r="L67" s="149">
        <f>163*10</f>
        <v>1630</v>
      </c>
      <c r="M67" s="149">
        <f>20*10</f>
        <v>200</v>
      </c>
      <c r="N67" s="150">
        <v>240</v>
      </c>
      <c r="O67" s="150">
        <f>25*10</f>
        <v>250</v>
      </c>
      <c r="P67" s="150">
        <v>300</v>
      </c>
      <c r="Q67" s="149">
        <f>180*10</f>
        <v>1800</v>
      </c>
      <c r="R67" s="124">
        <f t="shared" si="0"/>
        <v>9660</v>
      </c>
      <c r="S67" s="126"/>
      <c r="T67">
        <f>SUM(F67:Q67)</f>
        <v>9660</v>
      </c>
    </row>
    <row r="68" spans="1:20" ht="35" customHeight="1" thickBot="1" x14ac:dyDescent="0.35">
      <c r="A68" s="127"/>
      <c r="B68" s="128"/>
      <c r="C68" s="129"/>
      <c r="D68" s="130"/>
      <c r="E68" s="131" t="s">
        <v>105</v>
      </c>
      <c r="F68" s="151"/>
      <c r="G68" s="152"/>
      <c r="H68" s="152"/>
      <c r="I68" s="151"/>
      <c r="J68" s="152"/>
      <c r="K68" s="151"/>
      <c r="L68" s="151"/>
      <c r="M68" s="151"/>
      <c r="N68" s="152"/>
      <c r="O68" s="152"/>
      <c r="P68" s="152"/>
      <c r="Q68" s="151"/>
      <c r="R68" s="132">
        <f t="shared" si="0"/>
        <v>0</v>
      </c>
      <c r="S68" s="134"/>
    </row>
    <row r="69" spans="1:20" ht="35" customHeight="1" x14ac:dyDescent="0.3">
      <c r="A69" s="119">
        <f t="shared" ref="A69" si="25">+A67+1</f>
        <v>29</v>
      </c>
      <c r="B69" s="120" t="s">
        <v>32</v>
      </c>
      <c r="C69" s="121" t="s">
        <v>177</v>
      </c>
      <c r="D69" s="122" t="s">
        <v>174</v>
      </c>
      <c r="E69" s="123" t="s">
        <v>104</v>
      </c>
      <c r="F69" s="149">
        <f>135*10</f>
        <v>1350</v>
      </c>
      <c r="G69" s="150">
        <v>133</v>
      </c>
      <c r="H69" s="150">
        <v>120</v>
      </c>
      <c r="I69" s="149">
        <f>163*8</f>
        <v>1304</v>
      </c>
      <c r="J69" s="150">
        <v>230</v>
      </c>
      <c r="K69" s="149">
        <f>168*2*4</f>
        <v>1344</v>
      </c>
      <c r="L69" s="149">
        <f>165*10</f>
        <v>1650</v>
      </c>
      <c r="M69" s="149">
        <f>21*10</f>
        <v>210</v>
      </c>
      <c r="N69" s="150">
        <f>26*5</f>
        <v>130</v>
      </c>
      <c r="O69" s="150">
        <f>27*7</f>
        <v>189</v>
      </c>
      <c r="P69" s="150">
        <v>275</v>
      </c>
      <c r="Q69" s="149">
        <f>177*10</f>
        <v>1770</v>
      </c>
      <c r="R69" s="124">
        <f t="shared" si="0"/>
        <v>8705</v>
      </c>
      <c r="S69" s="126"/>
      <c r="T69">
        <f>SUM(F69:Q69)</f>
        <v>8705</v>
      </c>
    </row>
    <row r="70" spans="1:20" ht="35" customHeight="1" thickBot="1" x14ac:dyDescent="0.35">
      <c r="A70" s="127"/>
      <c r="B70" s="128"/>
      <c r="C70" s="129"/>
      <c r="D70" s="130"/>
      <c r="E70" s="131" t="s">
        <v>105</v>
      </c>
      <c r="F70" s="151"/>
      <c r="G70" s="152"/>
      <c r="H70" s="152"/>
      <c r="I70" s="151"/>
      <c r="J70" s="152"/>
      <c r="K70" s="151"/>
      <c r="L70" s="151"/>
      <c r="M70" s="151"/>
      <c r="N70" s="152"/>
      <c r="O70" s="152"/>
      <c r="P70" s="152"/>
      <c r="Q70" s="151"/>
      <c r="R70" s="132">
        <f t="shared" si="0"/>
        <v>0</v>
      </c>
      <c r="S70" s="134"/>
    </row>
    <row r="71" spans="1:20" ht="35" customHeight="1" x14ac:dyDescent="0.3">
      <c r="A71" s="119">
        <f t="shared" ref="A71" si="26">+A69+1</f>
        <v>30</v>
      </c>
      <c r="B71" s="120" t="s">
        <v>178</v>
      </c>
      <c r="C71" s="121" t="s">
        <v>179</v>
      </c>
      <c r="D71" s="122" t="s">
        <v>174</v>
      </c>
      <c r="E71" s="123" t="s">
        <v>104</v>
      </c>
      <c r="F71" s="149">
        <f>141*10</f>
        <v>1410</v>
      </c>
      <c r="G71" s="150">
        <v>198</v>
      </c>
      <c r="H71" s="150">
        <v>185</v>
      </c>
      <c r="I71" s="149">
        <f>163*8</f>
        <v>1304</v>
      </c>
      <c r="J71" s="150">
        <v>230</v>
      </c>
      <c r="K71" s="149">
        <f>68*2*4</f>
        <v>544</v>
      </c>
      <c r="L71" s="149">
        <f>65*10</f>
        <v>650</v>
      </c>
      <c r="M71" s="149">
        <f>21*10</f>
        <v>210</v>
      </c>
      <c r="N71" s="150">
        <f>26*5</f>
        <v>130</v>
      </c>
      <c r="O71" s="150">
        <f>27*7</f>
        <v>189</v>
      </c>
      <c r="P71" s="150">
        <f>28*8</f>
        <v>224</v>
      </c>
      <c r="Q71" s="149">
        <f>150*10</f>
        <v>1500</v>
      </c>
      <c r="R71" s="124">
        <f t="shared" si="0"/>
        <v>6774</v>
      </c>
      <c r="S71" s="126"/>
      <c r="T71">
        <f>SUM(F71:Q71)</f>
        <v>6774</v>
      </c>
    </row>
    <row r="72" spans="1:20" ht="35" customHeight="1" thickBot="1" x14ac:dyDescent="0.35">
      <c r="A72" s="127"/>
      <c r="B72" s="128"/>
      <c r="C72" s="129"/>
      <c r="D72" s="130"/>
      <c r="E72" s="131" t="s">
        <v>105</v>
      </c>
      <c r="F72" s="151"/>
      <c r="G72" s="152"/>
      <c r="H72" s="152"/>
      <c r="I72" s="151"/>
      <c r="J72" s="152"/>
      <c r="K72" s="151"/>
      <c r="L72" s="151"/>
      <c r="M72" s="151"/>
      <c r="N72" s="152"/>
      <c r="O72" s="152"/>
      <c r="P72" s="152"/>
      <c r="Q72" s="151"/>
      <c r="R72" s="132">
        <f t="shared" si="0"/>
        <v>0</v>
      </c>
      <c r="S72" s="134"/>
    </row>
    <row r="73" spans="1:20" ht="35" customHeight="1" x14ac:dyDescent="0.3">
      <c r="A73" s="119">
        <f t="shared" ref="A73" si="27">+A71+1</f>
        <v>31</v>
      </c>
      <c r="B73" s="120" t="s">
        <v>180</v>
      </c>
      <c r="C73" s="121" t="s">
        <v>115</v>
      </c>
      <c r="D73" s="122" t="s">
        <v>174</v>
      </c>
      <c r="E73" s="123" t="s">
        <v>104</v>
      </c>
      <c r="F73" s="149">
        <v>150</v>
      </c>
      <c r="G73" s="150"/>
      <c r="H73" s="150"/>
      <c r="I73" s="149">
        <v>230</v>
      </c>
      <c r="J73" s="150"/>
      <c r="K73" s="149"/>
      <c r="L73" s="149"/>
      <c r="M73" s="149"/>
      <c r="N73" s="150"/>
      <c r="O73" s="150"/>
      <c r="P73" s="150"/>
      <c r="Q73" s="149"/>
      <c r="R73" s="124">
        <f t="shared" si="0"/>
        <v>380</v>
      </c>
      <c r="S73" s="126"/>
      <c r="T73">
        <f>SUM(F73:Q73)</f>
        <v>380</v>
      </c>
    </row>
    <row r="74" spans="1:20" ht="35" customHeight="1" thickBot="1" x14ac:dyDescent="0.35">
      <c r="A74" s="127"/>
      <c r="B74" s="128"/>
      <c r="C74" s="129"/>
      <c r="D74" s="130"/>
      <c r="E74" s="131" t="s">
        <v>105</v>
      </c>
      <c r="F74" s="151"/>
      <c r="G74" s="152"/>
      <c r="H74" s="152"/>
      <c r="I74" s="151"/>
      <c r="J74" s="152"/>
      <c r="K74" s="151"/>
      <c r="L74" s="151"/>
      <c r="M74" s="151"/>
      <c r="N74" s="152"/>
      <c r="O74" s="152"/>
      <c r="P74" s="152"/>
      <c r="Q74" s="151"/>
      <c r="R74" s="132">
        <f t="shared" si="0"/>
        <v>0</v>
      </c>
      <c r="S74" s="134"/>
    </row>
    <row r="75" spans="1:20" ht="35" customHeight="1" x14ac:dyDescent="0.3">
      <c r="A75" s="119">
        <f t="shared" ref="A75" si="28">+A73+1</f>
        <v>32</v>
      </c>
      <c r="B75" s="120" t="s">
        <v>181</v>
      </c>
      <c r="C75" s="121" t="s">
        <v>115</v>
      </c>
      <c r="D75" s="122" t="s">
        <v>182</v>
      </c>
      <c r="E75" s="123" t="s">
        <v>104</v>
      </c>
      <c r="F75" s="149">
        <v>201</v>
      </c>
      <c r="G75" s="150"/>
      <c r="H75" s="150"/>
      <c r="I75" s="149">
        <v>300</v>
      </c>
      <c r="J75" s="150"/>
      <c r="K75" s="149"/>
      <c r="L75" s="149"/>
      <c r="M75" s="149"/>
      <c r="N75" s="150"/>
      <c r="O75" s="150"/>
      <c r="P75" s="150"/>
      <c r="Q75" s="149"/>
      <c r="R75" s="124">
        <f t="shared" si="0"/>
        <v>501</v>
      </c>
      <c r="S75" s="126"/>
      <c r="T75">
        <f>SUM(F75:Q75)</f>
        <v>501</v>
      </c>
    </row>
    <row r="76" spans="1:20" ht="35" customHeight="1" thickBot="1" x14ac:dyDescent="0.35">
      <c r="A76" s="127"/>
      <c r="B76" s="128"/>
      <c r="C76" s="129"/>
      <c r="D76" s="130"/>
      <c r="E76" s="131" t="s">
        <v>105</v>
      </c>
      <c r="F76" s="151"/>
      <c r="G76" s="152"/>
      <c r="H76" s="152"/>
      <c r="I76" s="151"/>
      <c r="J76" s="152"/>
      <c r="K76" s="151"/>
      <c r="L76" s="151"/>
      <c r="M76" s="151"/>
      <c r="N76" s="152"/>
      <c r="O76" s="152"/>
      <c r="P76" s="152"/>
      <c r="Q76" s="151"/>
      <c r="R76" s="132">
        <f t="shared" si="0"/>
        <v>0</v>
      </c>
      <c r="S76" s="134"/>
    </row>
    <row r="77" spans="1:20" ht="35" customHeight="1" x14ac:dyDescent="0.3">
      <c r="A77" s="119">
        <f t="shared" ref="A77" si="29">+A75+1</f>
        <v>33</v>
      </c>
      <c r="B77" s="120" t="s">
        <v>183</v>
      </c>
      <c r="C77" s="121" t="s">
        <v>184</v>
      </c>
      <c r="D77" s="122" t="s">
        <v>185</v>
      </c>
      <c r="E77" s="123" t="s">
        <v>104</v>
      </c>
      <c r="F77" s="149"/>
      <c r="G77" s="150"/>
      <c r="H77" s="150"/>
      <c r="I77" s="149">
        <v>127</v>
      </c>
      <c r="J77" s="150"/>
      <c r="K77" s="149"/>
      <c r="L77" s="149"/>
      <c r="M77" s="149"/>
      <c r="N77" s="150"/>
      <c r="O77" s="150"/>
      <c r="P77" s="150"/>
      <c r="Q77" s="149"/>
      <c r="R77" s="124">
        <f t="shared" si="0"/>
        <v>127</v>
      </c>
      <c r="S77" s="126"/>
      <c r="T77">
        <f>SUM(F77:Q77)</f>
        <v>127</v>
      </c>
    </row>
    <row r="78" spans="1:20" ht="35" customHeight="1" thickBot="1" x14ac:dyDescent="0.35">
      <c r="A78" s="127"/>
      <c r="B78" s="128"/>
      <c r="C78" s="129"/>
      <c r="D78" s="130"/>
      <c r="E78" s="131" t="s">
        <v>105</v>
      </c>
      <c r="F78" s="151"/>
      <c r="G78" s="152"/>
      <c r="H78" s="152"/>
      <c r="I78" s="151"/>
      <c r="J78" s="152"/>
      <c r="K78" s="151"/>
      <c r="L78" s="151"/>
      <c r="M78" s="151"/>
      <c r="N78" s="152"/>
      <c r="O78" s="152"/>
      <c r="P78" s="152"/>
      <c r="Q78" s="151"/>
      <c r="R78" s="132">
        <f t="shared" si="0"/>
        <v>0</v>
      </c>
      <c r="S78" s="134"/>
    </row>
    <row r="79" spans="1:20" ht="35" customHeight="1" x14ac:dyDescent="0.3">
      <c r="A79" s="119">
        <f t="shared" ref="A79" si="30">+A77+1</f>
        <v>34</v>
      </c>
      <c r="B79" s="120" t="s">
        <v>186</v>
      </c>
      <c r="C79" s="121"/>
      <c r="D79" s="122" t="s">
        <v>187</v>
      </c>
      <c r="E79" s="123" t="s">
        <v>104</v>
      </c>
      <c r="F79" s="149">
        <v>349</v>
      </c>
      <c r="G79" s="150"/>
      <c r="H79" s="150"/>
      <c r="I79" s="149">
        <v>230</v>
      </c>
      <c r="J79" s="150"/>
      <c r="K79" s="149"/>
      <c r="L79" s="149"/>
      <c r="M79" s="149"/>
      <c r="N79" s="150"/>
      <c r="O79" s="150"/>
      <c r="P79" s="150"/>
      <c r="Q79" s="149">
        <v>750</v>
      </c>
      <c r="R79" s="124">
        <f t="shared" ref="R79:R130" si="31">SUM(F79:Q79)</f>
        <v>1329</v>
      </c>
      <c r="S79" s="126"/>
      <c r="T79">
        <f>SUM(F79:Q79)</f>
        <v>1329</v>
      </c>
    </row>
    <row r="80" spans="1:20" ht="35" customHeight="1" thickBot="1" x14ac:dyDescent="0.35">
      <c r="A80" s="127"/>
      <c r="B80" s="128"/>
      <c r="C80" s="129"/>
      <c r="D80" s="130"/>
      <c r="E80" s="131" t="s">
        <v>105</v>
      </c>
      <c r="F80" s="151"/>
      <c r="G80" s="152"/>
      <c r="H80" s="152"/>
      <c r="I80" s="151"/>
      <c r="J80" s="152"/>
      <c r="K80" s="151"/>
      <c r="L80" s="151"/>
      <c r="M80" s="151"/>
      <c r="N80" s="152"/>
      <c r="O80" s="152"/>
      <c r="P80" s="152"/>
      <c r="Q80" s="151"/>
      <c r="R80" s="132">
        <f t="shared" si="31"/>
        <v>0</v>
      </c>
      <c r="S80" s="134"/>
    </row>
    <row r="81" spans="1:20" ht="35" customHeight="1" x14ac:dyDescent="0.3">
      <c r="A81" s="135">
        <f t="shared" ref="A81" si="32">+A79+1</f>
        <v>35</v>
      </c>
      <c r="B81" s="136" t="s">
        <v>188</v>
      </c>
      <c r="C81" s="137" t="s">
        <v>109</v>
      </c>
      <c r="D81" s="138" t="s">
        <v>189</v>
      </c>
      <c r="E81" s="139" t="s">
        <v>104</v>
      </c>
      <c r="F81" s="149">
        <v>3300</v>
      </c>
      <c r="G81" s="174">
        <v>1250</v>
      </c>
      <c r="H81" s="174">
        <v>945</v>
      </c>
      <c r="I81" s="149">
        <v>1705</v>
      </c>
      <c r="J81" s="174">
        <v>3300</v>
      </c>
      <c r="K81" s="149">
        <v>1900</v>
      </c>
      <c r="L81" s="149">
        <v>2700</v>
      </c>
      <c r="M81" s="149">
        <v>1200</v>
      </c>
      <c r="N81" s="174">
        <v>1400</v>
      </c>
      <c r="O81" s="174">
        <v>1650</v>
      </c>
      <c r="P81" s="174">
        <v>1250</v>
      </c>
      <c r="Q81" s="149">
        <v>1400</v>
      </c>
      <c r="R81" s="124">
        <f t="shared" si="31"/>
        <v>22000</v>
      </c>
      <c r="S81" s="141" t="s">
        <v>110</v>
      </c>
      <c r="T81">
        <f>SUM(F81:Q81)</f>
        <v>22000</v>
      </c>
    </row>
    <row r="82" spans="1:20" ht="35" customHeight="1" thickBot="1" x14ac:dyDescent="0.35">
      <c r="A82" s="142"/>
      <c r="B82" s="143"/>
      <c r="C82" s="144"/>
      <c r="D82" s="145"/>
      <c r="E82" s="146" t="s">
        <v>105</v>
      </c>
      <c r="F82" s="151"/>
      <c r="G82" s="175"/>
      <c r="H82" s="175"/>
      <c r="I82" s="151"/>
      <c r="J82" s="175"/>
      <c r="K82" s="151"/>
      <c r="L82" s="151"/>
      <c r="M82" s="151"/>
      <c r="N82" s="175"/>
      <c r="O82" s="175"/>
      <c r="P82" s="175"/>
      <c r="Q82" s="151"/>
      <c r="R82" s="132">
        <f t="shared" si="31"/>
        <v>0</v>
      </c>
      <c r="S82" s="148"/>
    </row>
    <row r="83" spans="1:20" ht="35" customHeight="1" x14ac:dyDescent="0.3">
      <c r="A83" s="119">
        <f t="shared" ref="A83" si="33">+A81+1</f>
        <v>36</v>
      </c>
      <c r="B83" s="120" t="s">
        <v>190</v>
      </c>
      <c r="C83" s="121" t="s">
        <v>191</v>
      </c>
      <c r="D83" s="122" t="s">
        <v>192</v>
      </c>
      <c r="E83" s="123" t="s">
        <v>104</v>
      </c>
      <c r="F83" s="149">
        <v>1430</v>
      </c>
      <c r="G83" s="150">
        <v>125</v>
      </c>
      <c r="H83" s="150">
        <v>130</v>
      </c>
      <c r="I83" s="149">
        <f>163*9</f>
        <v>1467</v>
      </c>
      <c r="J83" s="150">
        <v>232</v>
      </c>
      <c r="K83" s="149">
        <f>169*2*4</f>
        <v>1352</v>
      </c>
      <c r="L83" s="149">
        <f>168*10</f>
        <v>1680</v>
      </c>
      <c r="M83" s="149">
        <f>121*11</f>
        <v>1331</v>
      </c>
      <c r="N83" s="150">
        <f>26*11</f>
        <v>286</v>
      </c>
      <c r="O83" s="150">
        <f>27*11</f>
        <v>297</v>
      </c>
      <c r="P83" s="150">
        <f>128*11</f>
        <v>1408</v>
      </c>
      <c r="Q83" s="149">
        <f>170*11</f>
        <v>1870</v>
      </c>
      <c r="R83" s="124">
        <f t="shared" si="31"/>
        <v>11608</v>
      </c>
      <c r="S83" s="126"/>
      <c r="T83">
        <f>SUM(F83:Q83)</f>
        <v>11608</v>
      </c>
    </row>
    <row r="84" spans="1:20" ht="35" customHeight="1" thickBot="1" x14ac:dyDescent="0.35">
      <c r="A84" s="127"/>
      <c r="B84" s="128"/>
      <c r="C84" s="129"/>
      <c r="D84" s="130"/>
      <c r="E84" s="131" t="s">
        <v>105</v>
      </c>
      <c r="F84" s="151"/>
      <c r="G84" s="152"/>
      <c r="H84" s="152"/>
      <c r="I84" s="151"/>
      <c r="J84" s="152"/>
      <c r="K84" s="151"/>
      <c r="L84" s="151"/>
      <c r="M84" s="151"/>
      <c r="N84" s="152"/>
      <c r="O84" s="152"/>
      <c r="P84" s="152"/>
      <c r="Q84" s="151"/>
      <c r="R84" s="132">
        <f t="shared" si="31"/>
        <v>0</v>
      </c>
      <c r="S84" s="134"/>
    </row>
    <row r="85" spans="1:20" ht="35" customHeight="1" x14ac:dyDescent="0.3">
      <c r="A85" s="119">
        <f t="shared" ref="A85" si="34">+A83+1</f>
        <v>37</v>
      </c>
      <c r="B85" s="120" t="s">
        <v>193</v>
      </c>
      <c r="C85" s="121" t="s">
        <v>115</v>
      </c>
      <c r="D85" s="122" t="s">
        <v>194</v>
      </c>
      <c r="E85" s="123" t="s">
        <v>104</v>
      </c>
      <c r="F85" s="149">
        <f>35*8</f>
        <v>280</v>
      </c>
      <c r="G85" s="150">
        <v>45</v>
      </c>
      <c r="H85" s="150">
        <v>40</v>
      </c>
      <c r="I85" s="149">
        <f>53*8</f>
        <v>424</v>
      </c>
      <c r="J85" s="150">
        <v>230</v>
      </c>
      <c r="K85" s="149">
        <f>61*2*4</f>
        <v>488</v>
      </c>
      <c r="L85" s="149">
        <f>55*10</f>
        <v>550</v>
      </c>
      <c r="M85" s="149">
        <v>61</v>
      </c>
      <c r="N85" s="150">
        <f>26*5</f>
        <v>130</v>
      </c>
      <c r="O85" s="150">
        <v>76</v>
      </c>
      <c r="P85" s="150">
        <v>80</v>
      </c>
      <c r="Q85" s="149">
        <f>53*10</f>
        <v>530</v>
      </c>
      <c r="R85" s="124">
        <f t="shared" si="31"/>
        <v>2934</v>
      </c>
      <c r="S85" s="126"/>
      <c r="T85">
        <f>SUM(F85:Q85)</f>
        <v>2934</v>
      </c>
    </row>
    <row r="86" spans="1:20" ht="35" customHeight="1" thickBot="1" x14ac:dyDescent="0.35">
      <c r="A86" s="127"/>
      <c r="B86" s="128"/>
      <c r="C86" s="129"/>
      <c r="D86" s="130"/>
      <c r="E86" s="131" t="s">
        <v>105</v>
      </c>
      <c r="F86" s="151"/>
      <c r="G86" s="152"/>
      <c r="H86" s="152"/>
      <c r="I86" s="151"/>
      <c r="J86" s="152"/>
      <c r="K86" s="151"/>
      <c r="L86" s="151"/>
      <c r="M86" s="151"/>
      <c r="N86" s="152"/>
      <c r="O86" s="152"/>
      <c r="P86" s="152"/>
      <c r="Q86" s="151"/>
      <c r="R86" s="132">
        <f t="shared" si="31"/>
        <v>0</v>
      </c>
      <c r="S86" s="134"/>
    </row>
    <row r="87" spans="1:20" ht="35" customHeight="1" x14ac:dyDescent="0.3">
      <c r="A87" s="119">
        <f t="shared" ref="A87" si="35">+A85+1</f>
        <v>38</v>
      </c>
      <c r="B87" s="120" t="s">
        <v>195</v>
      </c>
      <c r="C87" s="121" t="s">
        <v>115</v>
      </c>
      <c r="D87" s="122" t="s">
        <v>196</v>
      </c>
      <c r="E87" s="123" t="s">
        <v>104</v>
      </c>
      <c r="F87" s="149"/>
      <c r="G87" s="150"/>
      <c r="H87" s="150"/>
      <c r="I87" s="149">
        <v>3500</v>
      </c>
      <c r="J87" s="150"/>
      <c r="K87" s="149"/>
      <c r="L87" s="149"/>
      <c r="M87" s="149"/>
      <c r="N87" s="150"/>
      <c r="O87" s="150"/>
      <c r="P87" s="150"/>
      <c r="Q87" s="149"/>
      <c r="R87" s="124">
        <f t="shared" si="31"/>
        <v>3500</v>
      </c>
      <c r="S87" s="154" t="s">
        <v>197</v>
      </c>
      <c r="T87">
        <f>SUM(F87:Q87)</f>
        <v>3500</v>
      </c>
    </row>
    <row r="88" spans="1:20" ht="35" customHeight="1" thickBot="1" x14ac:dyDescent="0.35">
      <c r="A88" s="127"/>
      <c r="B88" s="128"/>
      <c r="C88" s="129"/>
      <c r="D88" s="130"/>
      <c r="E88" s="131" t="s">
        <v>105</v>
      </c>
      <c r="F88" s="151"/>
      <c r="G88" s="152"/>
      <c r="H88" s="152"/>
      <c r="I88" s="151"/>
      <c r="J88" s="152"/>
      <c r="K88" s="151"/>
      <c r="L88" s="151"/>
      <c r="M88" s="151"/>
      <c r="N88" s="152"/>
      <c r="O88" s="152"/>
      <c r="P88" s="152"/>
      <c r="Q88" s="151"/>
      <c r="R88" s="132">
        <f t="shared" si="31"/>
        <v>0</v>
      </c>
      <c r="S88" s="156"/>
    </row>
    <row r="89" spans="1:20" ht="35" customHeight="1" x14ac:dyDescent="0.3">
      <c r="A89" s="119">
        <f t="shared" ref="A89" si="36">+A87+1</f>
        <v>39</v>
      </c>
      <c r="B89" s="120" t="s">
        <v>198</v>
      </c>
      <c r="C89" s="121" t="s">
        <v>115</v>
      </c>
      <c r="D89" s="122" t="s">
        <v>194</v>
      </c>
      <c r="E89" s="123" t="s">
        <v>104</v>
      </c>
      <c r="F89" s="149">
        <v>100</v>
      </c>
      <c r="G89" s="150">
        <v>80</v>
      </c>
      <c r="H89" s="150">
        <v>50</v>
      </c>
      <c r="I89" s="149">
        <v>110</v>
      </c>
      <c r="J89" s="150">
        <v>90</v>
      </c>
      <c r="K89" s="149">
        <v>200</v>
      </c>
      <c r="L89" s="149">
        <v>200</v>
      </c>
      <c r="M89" s="149">
        <v>75</v>
      </c>
      <c r="N89" s="150">
        <v>88</v>
      </c>
      <c r="O89" s="150">
        <f>27*7</f>
        <v>189</v>
      </c>
      <c r="P89" s="150">
        <v>120</v>
      </c>
      <c r="Q89" s="149">
        <v>200</v>
      </c>
      <c r="R89" s="124">
        <f t="shared" si="31"/>
        <v>1502</v>
      </c>
      <c r="S89" s="126"/>
      <c r="T89">
        <f>SUM(F89:Q89)</f>
        <v>1502</v>
      </c>
    </row>
    <row r="90" spans="1:20" ht="35" customHeight="1" thickBot="1" x14ac:dyDescent="0.35">
      <c r="A90" s="127"/>
      <c r="B90" s="128"/>
      <c r="C90" s="129"/>
      <c r="D90" s="130"/>
      <c r="E90" s="131" t="s">
        <v>105</v>
      </c>
      <c r="F90" s="151"/>
      <c r="G90" s="152"/>
      <c r="H90" s="152"/>
      <c r="I90" s="151"/>
      <c r="J90" s="152"/>
      <c r="K90" s="151"/>
      <c r="L90" s="151"/>
      <c r="M90" s="151"/>
      <c r="N90" s="152"/>
      <c r="O90" s="152"/>
      <c r="P90" s="152"/>
      <c r="Q90" s="151"/>
      <c r="R90" s="132">
        <f t="shared" si="31"/>
        <v>0</v>
      </c>
      <c r="S90" s="134"/>
    </row>
    <row r="91" spans="1:20" ht="35" customHeight="1" x14ac:dyDescent="0.3">
      <c r="A91" s="119">
        <f t="shared" ref="A91" si="37">+A89+1</f>
        <v>40</v>
      </c>
      <c r="B91" s="120" t="s">
        <v>199</v>
      </c>
      <c r="C91" s="121" t="s">
        <v>200</v>
      </c>
      <c r="D91" s="122" t="s">
        <v>201</v>
      </c>
      <c r="E91" s="123" t="s">
        <v>104</v>
      </c>
      <c r="F91" s="149"/>
      <c r="G91" s="150"/>
      <c r="H91" s="150"/>
      <c r="I91" s="149"/>
      <c r="J91" s="150"/>
      <c r="K91" s="149"/>
      <c r="L91" s="149"/>
      <c r="M91" s="149">
        <v>55</v>
      </c>
      <c r="N91" s="150"/>
      <c r="O91" s="150"/>
      <c r="P91" s="150"/>
      <c r="Q91" s="149">
        <v>36</v>
      </c>
      <c r="R91" s="124">
        <f t="shared" si="31"/>
        <v>91</v>
      </c>
      <c r="S91" s="126"/>
      <c r="T91">
        <f>SUM(F91:Q91)</f>
        <v>91</v>
      </c>
    </row>
    <row r="92" spans="1:20" ht="35" customHeight="1" thickBot="1" x14ac:dyDescent="0.35">
      <c r="A92" s="127"/>
      <c r="B92" s="128"/>
      <c r="C92" s="129"/>
      <c r="D92" s="130"/>
      <c r="E92" s="131" t="s">
        <v>105</v>
      </c>
      <c r="F92" s="151"/>
      <c r="G92" s="152"/>
      <c r="H92" s="152"/>
      <c r="I92" s="151"/>
      <c r="J92" s="152"/>
      <c r="K92" s="151"/>
      <c r="L92" s="151"/>
      <c r="M92" s="151"/>
      <c r="N92" s="152"/>
      <c r="O92" s="152"/>
      <c r="P92" s="152"/>
      <c r="Q92" s="151"/>
      <c r="R92" s="132">
        <f t="shared" si="31"/>
        <v>0</v>
      </c>
      <c r="S92" s="134"/>
    </row>
    <row r="93" spans="1:20" ht="35" customHeight="1" x14ac:dyDescent="0.3">
      <c r="A93" s="119">
        <f t="shared" ref="A93:A97" si="38">+A91+1</f>
        <v>41</v>
      </c>
      <c r="B93" s="120" t="s">
        <v>202</v>
      </c>
      <c r="C93" s="121" t="s">
        <v>115</v>
      </c>
      <c r="D93" s="122" t="s">
        <v>203</v>
      </c>
      <c r="E93" s="123" t="s">
        <v>104</v>
      </c>
      <c r="F93" s="149">
        <v>50</v>
      </c>
      <c r="G93" s="150"/>
      <c r="H93" s="150"/>
      <c r="I93" s="149"/>
      <c r="J93" s="150"/>
      <c r="K93" s="149">
        <v>75</v>
      </c>
      <c r="L93" s="149">
        <v>44</v>
      </c>
      <c r="M93" s="149">
        <v>34</v>
      </c>
      <c r="N93" s="150"/>
      <c r="O93" s="150"/>
      <c r="P93" s="150"/>
      <c r="Q93" s="149"/>
      <c r="R93" s="124">
        <f t="shared" si="31"/>
        <v>203</v>
      </c>
      <c r="S93" s="126"/>
      <c r="T93">
        <f>SUM(F93:Q93)</f>
        <v>203</v>
      </c>
    </row>
    <row r="94" spans="1:20" ht="35" customHeight="1" thickBot="1" x14ac:dyDescent="0.35">
      <c r="A94" s="127"/>
      <c r="B94" s="128"/>
      <c r="C94" s="129"/>
      <c r="D94" s="130"/>
      <c r="E94" s="131" t="s">
        <v>105</v>
      </c>
      <c r="F94" s="151"/>
      <c r="G94" s="152"/>
      <c r="H94" s="152"/>
      <c r="I94" s="151"/>
      <c r="J94" s="152"/>
      <c r="K94" s="151"/>
      <c r="L94" s="151"/>
      <c r="M94" s="151"/>
      <c r="N94" s="152"/>
      <c r="O94" s="152"/>
      <c r="P94" s="152"/>
      <c r="Q94" s="151"/>
      <c r="R94" s="132">
        <f t="shared" si="31"/>
        <v>0</v>
      </c>
      <c r="S94" s="134"/>
    </row>
    <row r="95" spans="1:20" ht="35" customHeight="1" x14ac:dyDescent="0.3">
      <c r="A95" s="119">
        <f t="shared" si="38"/>
        <v>42</v>
      </c>
      <c r="B95" s="166" t="s">
        <v>204</v>
      </c>
      <c r="C95" s="167" t="s">
        <v>205</v>
      </c>
      <c r="D95" s="122" t="s">
        <v>206</v>
      </c>
      <c r="E95" s="123" t="s">
        <v>104</v>
      </c>
      <c r="F95" s="176">
        <v>230</v>
      </c>
      <c r="G95" s="177">
        <v>30</v>
      </c>
      <c r="H95" s="177">
        <v>46</v>
      </c>
      <c r="I95" s="176">
        <v>240</v>
      </c>
      <c r="J95" s="177">
        <v>42</v>
      </c>
      <c r="K95" s="176">
        <v>150</v>
      </c>
      <c r="L95" s="176">
        <v>135</v>
      </c>
      <c r="M95" s="176">
        <v>140</v>
      </c>
      <c r="N95" s="177">
        <v>30</v>
      </c>
      <c r="O95" s="177">
        <v>34</v>
      </c>
      <c r="P95" s="177">
        <v>43</v>
      </c>
      <c r="Q95" s="176">
        <v>300</v>
      </c>
      <c r="R95" s="124">
        <f t="shared" si="31"/>
        <v>1420</v>
      </c>
      <c r="S95" s="126"/>
      <c r="T95">
        <f>SUM(F95:Q95)</f>
        <v>1420</v>
      </c>
    </row>
    <row r="96" spans="1:20" ht="35" customHeight="1" thickBot="1" x14ac:dyDescent="0.35">
      <c r="A96" s="127"/>
      <c r="B96" s="170"/>
      <c r="C96" s="171"/>
      <c r="D96" s="130"/>
      <c r="E96" s="131" t="s">
        <v>105</v>
      </c>
      <c r="F96" s="151"/>
      <c r="G96" s="152"/>
      <c r="H96" s="152"/>
      <c r="I96" s="151"/>
      <c r="J96" s="152"/>
      <c r="K96" s="151"/>
      <c r="L96" s="151"/>
      <c r="M96" s="151"/>
      <c r="N96" s="152"/>
      <c r="O96" s="152"/>
      <c r="P96" s="152"/>
      <c r="Q96" s="151"/>
      <c r="R96" s="132">
        <f t="shared" si="31"/>
        <v>0</v>
      </c>
      <c r="S96" s="134"/>
    </row>
    <row r="97" spans="1:20" ht="35" customHeight="1" x14ac:dyDescent="0.3">
      <c r="A97" s="119">
        <f t="shared" si="38"/>
        <v>43</v>
      </c>
      <c r="B97" s="120" t="s">
        <v>207</v>
      </c>
      <c r="C97" s="121" t="s">
        <v>115</v>
      </c>
      <c r="D97" s="122" t="s">
        <v>206</v>
      </c>
      <c r="E97" s="123" t="s">
        <v>104</v>
      </c>
      <c r="F97" s="149">
        <v>75</v>
      </c>
      <c r="G97" s="150">
        <v>30</v>
      </c>
      <c r="H97" s="150">
        <v>50</v>
      </c>
      <c r="I97" s="149">
        <v>110</v>
      </c>
      <c r="J97" s="150">
        <v>90</v>
      </c>
      <c r="K97" s="149">
        <v>120</v>
      </c>
      <c r="L97" s="149">
        <v>133</v>
      </c>
      <c r="M97" s="149">
        <v>75</v>
      </c>
      <c r="N97" s="150">
        <v>80</v>
      </c>
      <c r="O97" s="150">
        <v>180</v>
      </c>
      <c r="P97" s="150">
        <v>120</v>
      </c>
      <c r="Q97" s="149">
        <v>200</v>
      </c>
      <c r="R97" s="124">
        <f t="shared" si="31"/>
        <v>1263</v>
      </c>
      <c r="S97" s="126"/>
      <c r="T97">
        <f>SUM(F97:Q97)</f>
        <v>1263</v>
      </c>
    </row>
    <row r="98" spans="1:20" ht="35" customHeight="1" thickBot="1" x14ac:dyDescent="0.35">
      <c r="A98" s="127"/>
      <c r="B98" s="128"/>
      <c r="C98" s="129"/>
      <c r="D98" s="130"/>
      <c r="E98" s="131" t="s">
        <v>105</v>
      </c>
      <c r="F98" s="151"/>
      <c r="G98" s="152"/>
      <c r="H98" s="152"/>
      <c r="I98" s="151"/>
      <c r="J98" s="152"/>
      <c r="K98" s="151"/>
      <c r="L98" s="151"/>
      <c r="M98" s="151"/>
      <c r="N98" s="152"/>
      <c r="O98" s="152"/>
      <c r="P98" s="152"/>
      <c r="Q98" s="151"/>
      <c r="R98" s="132">
        <f t="shared" si="31"/>
        <v>0</v>
      </c>
      <c r="S98" s="134"/>
    </row>
    <row r="99" spans="1:20" ht="35" customHeight="1" x14ac:dyDescent="0.3">
      <c r="A99" s="119">
        <f t="shared" ref="A99" si="39">+A97+1</f>
        <v>44</v>
      </c>
      <c r="B99" s="178" t="s">
        <v>208</v>
      </c>
      <c r="C99" s="121"/>
      <c r="D99" s="160" t="s">
        <v>209</v>
      </c>
      <c r="E99" s="123" t="s">
        <v>104</v>
      </c>
      <c r="F99" s="149"/>
      <c r="G99" s="150"/>
      <c r="H99" s="150"/>
      <c r="I99" s="149">
        <v>132</v>
      </c>
      <c r="J99" s="150"/>
      <c r="K99" s="149"/>
      <c r="L99" s="149"/>
      <c r="M99" s="149"/>
      <c r="N99" s="150"/>
      <c r="O99" s="150"/>
      <c r="P99" s="150"/>
      <c r="Q99" s="149"/>
      <c r="R99" s="124">
        <f t="shared" si="31"/>
        <v>132</v>
      </c>
      <c r="S99" s="157"/>
      <c r="T99">
        <f>SUM(F99:Q99)</f>
        <v>132</v>
      </c>
    </row>
    <row r="100" spans="1:20" ht="35" customHeight="1" thickBot="1" x14ac:dyDescent="0.35">
      <c r="A100" s="127"/>
      <c r="B100" s="179"/>
      <c r="C100" s="129"/>
      <c r="D100" s="163"/>
      <c r="E100" s="131" t="s">
        <v>105</v>
      </c>
      <c r="F100" s="151"/>
      <c r="G100" s="152"/>
      <c r="H100" s="152"/>
      <c r="I100" s="151"/>
      <c r="J100" s="152"/>
      <c r="K100" s="151"/>
      <c r="L100" s="151"/>
      <c r="M100" s="151"/>
      <c r="N100" s="152"/>
      <c r="O100" s="152"/>
      <c r="P100" s="152"/>
      <c r="Q100" s="151"/>
      <c r="R100" s="132">
        <f t="shared" si="31"/>
        <v>0</v>
      </c>
      <c r="S100" s="158"/>
    </row>
    <row r="101" spans="1:20" ht="35" customHeight="1" x14ac:dyDescent="0.3">
      <c r="A101" s="119">
        <f t="shared" ref="A101" si="40">+A99+1</f>
        <v>45</v>
      </c>
      <c r="B101" s="178" t="s">
        <v>210</v>
      </c>
      <c r="C101" s="121"/>
      <c r="D101" s="160" t="s">
        <v>209</v>
      </c>
      <c r="E101" s="123" t="s">
        <v>104</v>
      </c>
      <c r="F101" s="149"/>
      <c r="G101" s="150"/>
      <c r="H101" s="150"/>
      <c r="I101" s="149">
        <v>113</v>
      </c>
      <c r="J101" s="150"/>
      <c r="K101" s="149"/>
      <c r="L101" s="149"/>
      <c r="M101" s="149"/>
      <c r="N101" s="150"/>
      <c r="O101" s="150"/>
      <c r="P101" s="150"/>
      <c r="Q101" s="149"/>
      <c r="R101" s="124">
        <f t="shared" si="31"/>
        <v>113</v>
      </c>
      <c r="S101" s="157"/>
      <c r="T101">
        <f>SUM(F101:Q101)</f>
        <v>113</v>
      </c>
    </row>
    <row r="102" spans="1:20" ht="35" customHeight="1" thickBot="1" x14ac:dyDescent="0.35">
      <c r="A102" s="127"/>
      <c r="B102" s="179"/>
      <c r="C102" s="129"/>
      <c r="D102" s="163"/>
      <c r="E102" s="131" t="s">
        <v>105</v>
      </c>
      <c r="F102" s="151"/>
      <c r="G102" s="152"/>
      <c r="H102" s="152"/>
      <c r="I102" s="151"/>
      <c r="J102" s="152"/>
      <c r="K102" s="151"/>
      <c r="L102" s="151"/>
      <c r="M102" s="151"/>
      <c r="N102" s="152"/>
      <c r="O102" s="152"/>
      <c r="P102" s="152"/>
      <c r="Q102" s="151"/>
      <c r="R102" s="132">
        <f t="shared" si="31"/>
        <v>0</v>
      </c>
      <c r="S102" s="158"/>
    </row>
    <row r="103" spans="1:20" ht="35" customHeight="1" x14ac:dyDescent="0.3">
      <c r="A103" s="119">
        <f t="shared" ref="A103" si="41">+A101+1</f>
        <v>46</v>
      </c>
      <c r="B103" s="120" t="s">
        <v>211</v>
      </c>
      <c r="C103" s="121" t="s">
        <v>115</v>
      </c>
      <c r="D103" s="122" t="s">
        <v>212</v>
      </c>
      <c r="E103" s="123" t="s">
        <v>104</v>
      </c>
      <c r="F103" s="149"/>
      <c r="G103" s="150"/>
      <c r="H103" s="150"/>
      <c r="I103" s="149">
        <v>211</v>
      </c>
      <c r="J103" s="150"/>
      <c r="K103" s="149"/>
      <c r="L103" s="149"/>
      <c r="M103" s="149"/>
      <c r="N103" s="150"/>
      <c r="O103" s="150"/>
      <c r="P103" s="150"/>
      <c r="Q103" s="149"/>
      <c r="R103" s="124">
        <f t="shared" si="31"/>
        <v>211</v>
      </c>
      <c r="S103" s="126"/>
      <c r="T103">
        <f>SUM(F103:Q103)</f>
        <v>211</v>
      </c>
    </row>
    <row r="104" spans="1:20" ht="35" customHeight="1" thickBot="1" x14ac:dyDescent="0.35">
      <c r="A104" s="127"/>
      <c r="B104" s="128"/>
      <c r="C104" s="129"/>
      <c r="D104" s="130"/>
      <c r="E104" s="131" t="s">
        <v>105</v>
      </c>
      <c r="F104" s="151"/>
      <c r="G104" s="152"/>
      <c r="H104" s="152"/>
      <c r="I104" s="151"/>
      <c r="J104" s="152"/>
      <c r="K104" s="151"/>
      <c r="L104" s="151"/>
      <c r="M104" s="151"/>
      <c r="N104" s="152"/>
      <c r="O104" s="152"/>
      <c r="P104" s="152"/>
      <c r="Q104" s="151"/>
      <c r="R104" s="132">
        <f t="shared" si="31"/>
        <v>0</v>
      </c>
      <c r="S104" s="134"/>
    </row>
    <row r="105" spans="1:20" ht="35" customHeight="1" x14ac:dyDescent="0.3">
      <c r="A105" s="119">
        <f t="shared" ref="A105" si="42">+A103+1</f>
        <v>47</v>
      </c>
      <c r="B105" s="120" t="s">
        <v>213</v>
      </c>
      <c r="C105" s="121" t="s">
        <v>115</v>
      </c>
      <c r="D105" s="122" t="s">
        <v>214</v>
      </c>
      <c r="E105" s="123" t="s">
        <v>104</v>
      </c>
      <c r="F105" s="149"/>
      <c r="G105" s="150"/>
      <c r="H105" s="150"/>
      <c r="I105" s="149">
        <v>90</v>
      </c>
      <c r="J105" s="150"/>
      <c r="K105" s="149"/>
      <c r="L105" s="149"/>
      <c r="M105" s="149"/>
      <c r="N105" s="150"/>
      <c r="O105" s="150"/>
      <c r="P105" s="150"/>
      <c r="Q105" s="149"/>
      <c r="R105" s="124">
        <f t="shared" si="31"/>
        <v>90</v>
      </c>
      <c r="S105" s="126"/>
      <c r="T105">
        <f>SUM(F105:Q105)</f>
        <v>90</v>
      </c>
    </row>
    <row r="106" spans="1:20" ht="35" customHeight="1" thickBot="1" x14ac:dyDescent="0.35">
      <c r="A106" s="127"/>
      <c r="B106" s="128"/>
      <c r="C106" s="129"/>
      <c r="D106" s="130"/>
      <c r="E106" s="131" t="s">
        <v>105</v>
      </c>
      <c r="F106" s="151"/>
      <c r="G106" s="152"/>
      <c r="H106" s="152"/>
      <c r="I106" s="151"/>
      <c r="J106" s="152"/>
      <c r="K106" s="151"/>
      <c r="L106" s="151"/>
      <c r="M106" s="151"/>
      <c r="N106" s="152"/>
      <c r="O106" s="152"/>
      <c r="P106" s="152"/>
      <c r="Q106" s="151"/>
      <c r="R106" s="132">
        <f t="shared" si="31"/>
        <v>0</v>
      </c>
      <c r="S106" s="134"/>
    </row>
    <row r="107" spans="1:20" ht="35" customHeight="1" x14ac:dyDescent="0.3">
      <c r="A107" s="119">
        <f t="shared" ref="A107" si="43">+A105+1</f>
        <v>48</v>
      </c>
      <c r="B107" s="120" t="s">
        <v>215</v>
      </c>
      <c r="C107" s="121" t="s">
        <v>115</v>
      </c>
      <c r="D107" s="122" t="s">
        <v>214</v>
      </c>
      <c r="E107" s="123" t="s">
        <v>104</v>
      </c>
      <c r="F107" s="149"/>
      <c r="G107" s="150"/>
      <c r="H107" s="150"/>
      <c r="I107" s="149">
        <v>77</v>
      </c>
      <c r="J107" s="150"/>
      <c r="K107" s="149"/>
      <c r="L107" s="149"/>
      <c r="M107" s="149"/>
      <c r="N107" s="150"/>
      <c r="O107" s="150"/>
      <c r="P107" s="150"/>
      <c r="Q107" s="149"/>
      <c r="R107" s="124">
        <f t="shared" si="31"/>
        <v>77</v>
      </c>
      <c r="S107" s="126"/>
      <c r="T107">
        <f>SUM(F107:Q107)</f>
        <v>77</v>
      </c>
    </row>
    <row r="108" spans="1:20" ht="35" customHeight="1" thickBot="1" x14ac:dyDescent="0.35">
      <c r="A108" s="127"/>
      <c r="B108" s="128"/>
      <c r="C108" s="129"/>
      <c r="D108" s="130"/>
      <c r="E108" s="131" t="s">
        <v>105</v>
      </c>
      <c r="F108" s="151"/>
      <c r="G108" s="152"/>
      <c r="H108" s="152"/>
      <c r="I108" s="151"/>
      <c r="J108" s="152"/>
      <c r="K108" s="151"/>
      <c r="L108" s="151"/>
      <c r="M108" s="151"/>
      <c r="N108" s="152"/>
      <c r="O108" s="152"/>
      <c r="P108" s="152"/>
      <c r="Q108" s="151"/>
      <c r="R108" s="132">
        <f t="shared" si="31"/>
        <v>0</v>
      </c>
      <c r="S108" s="134"/>
    </row>
    <row r="109" spans="1:20" ht="35" customHeight="1" x14ac:dyDescent="0.3">
      <c r="A109" s="119">
        <f t="shared" ref="A109" si="44">+A107+1</f>
        <v>49</v>
      </c>
      <c r="B109" s="120" t="s">
        <v>216</v>
      </c>
      <c r="C109" s="121" t="s">
        <v>115</v>
      </c>
      <c r="D109" s="122" t="s">
        <v>217</v>
      </c>
      <c r="E109" s="123" t="s">
        <v>104</v>
      </c>
      <c r="F109" s="149">
        <v>60</v>
      </c>
      <c r="G109" s="150"/>
      <c r="H109" s="150">
        <v>321</v>
      </c>
      <c r="I109" s="149">
        <v>75</v>
      </c>
      <c r="J109" s="150"/>
      <c r="K109" s="149"/>
      <c r="L109" s="149"/>
      <c r="M109" s="149"/>
      <c r="N109" s="150"/>
      <c r="O109" s="150"/>
      <c r="P109" s="150"/>
      <c r="Q109" s="149"/>
      <c r="R109" s="124">
        <f t="shared" si="31"/>
        <v>456</v>
      </c>
      <c r="S109" s="126"/>
      <c r="T109">
        <f>SUM(F109:Q109)</f>
        <v>456</v>
      </c>
    </row>
    <row r="110" spans="1:20" ht="35" customHeight="1" thickBot="1" x14ac:dyDescent="0.35">
      <c r="A110" s="127"/>
      <c r="B110" s="128"/>
      <c r="C110" s="129"/>
      <c r="D110" s="130"/>
      <c r="E110" s="131" t="s">
        <v>105</v>
      </c>
      <c r="F110" s="151"/>
      <c r="G110" s="152"/>
      <c r="H110" s="152"/>
      <c r="I110" s="151"/>
      <c r="J110" s="152"/>
      <c r="K110" s="151"/>
      <c r="L110" s="151"/>
      <c r="M110" s="151"/>
      <c r="N110" s="152"/>
      <c r="O110" s="152"/>
      <c r="P110" s="152"/>
      <c r="Q110" s="151"/>
      <c r="R110" s="132">
        <f t="shared" si="31"/>
        <v>0</v>
      </c>
      <c r="S110" s="134"/>
    </row>
    <row r="111" spans="1:20" ht="35" customHeight="1" x14ac:dyDescent="0.3">
      <c r="A111" s="119">
        <f t="shared" ref="A111" si="45">+A109+1</f>
        <v>50</v>
      </c>
      <c r="B111" s="120" t="s">
        <v>218</v>
      </c>
      <c r="C111" s="121" t="s">
        <v>115</v>
      </c>
      <c r="D111" s="122" t="s">
        <v>219</v>
      </c>
      <c r="E111" s="123" t="s">
        <v>104</v>
      </c>
      <c r="F111" s="149">
        <f>41*11</f>
        <v>451</v>
      </c>
      <c r="G111" s="150">
        <v>130</v>
      </c>
      <c r="H111" s="150">
        <v>120</v>
      </c>
      <c r="I111" s="149">
        <f>63*11</f>
        <v>693</v>
      </c>
      <c r="J111" s="150">
        <v>230</v>
      </c>
      <c r="K111" s="149">
        <v>500</v>
      </c>
      <c r="L111" s="149">
        <v>400</v>
      </c>
      <c r="M111" s="149">
        <v>200</v>
      </c>
      <c r="N111" s="150">
        <v>120</v>
      </c>
      <c r="O111" s="150">
        <v>180</v>
      </c>
      <c r="P111" s="150">
        <v>220</v>
      </c>
      <c r="Q111" s="149">
        <f>70*12</f>
        <v>840</v>
      </c>
      <c r="R111" s="124">
        <f t="shared" si="31"/>
        <v>4084</v>
      </c>
      <c r="S111" s="126"/>
      <c r="T111">
        <f>SUM(F111:Q111)</f>
        <v>4084</v>
      </c>
    </row>
    <row r="112" spans="1:20" ht="35" customHeight="1" thickBot="1" x14ac:dyDescent="0.35">
      <c r="A112" s="127"/>
      <c r="B112" s="128"/>
      <c r="C112" s="129"/>
      <c r="D112" s="130"/>
      <c r="E112" s="131" t="s">
        <v>105</v>
      </c>
      <c r="F112" s="151"/>
      <c r="G112" s="152"/>
      <c r="H112" s="152"/>
      <c r="I112" s="151"/>
      <c r="J112" s="152"/>
      <c r="K112" s="151"/>
      <c r="L112" s="151"/>
      <c r="M112" s="151"/>
      <c r="N112" s="152"/>
      <c r="O112" s="152"/>
      <c r="P112" s="152"/>
      <c r="Q112" s="151"/>
      <c r="R112" s="132">
        <f t="shared" si="31"/>
        <v>0</v>
      </c>
      <c r="S112" s="134"/>
    </row>
    <row r="113" spans="1:20" ht="35" customHeight="1" x14ac:dyDescent="0.3">
      <c r="A113" s="119">
        <f t="shared" ref="A113" si="46">+A111+1</f>
        <v>51</v>
      </c>
      <c r="B113" s="120" t="s">
        <v>220</v>
      </c>
      <c r="C113" s="121"/>
      <c r="D113" s="122" t="s">
        <v>221</v>
      </c>
      <c r="E113" s="123" t="s">
        <v>104</v>
      </c>
      <c r="F113" s="149">
        <v>214</v>
      </c>
      <c r="G113" s="150"/>
      <c r="H113" s="150"/>
      <c r="I113" s="149">
        <v>311</v>
      </c>
      <c r="J113" s="150"/>
      <c r="K113" s="149"/>
      <c r="L113" s="149"/>
      <c r="M113" s="149"/>
      <c r="N113" s="150"/>
      <c r="O113" s="150"/>
      <c r="P113" s="150"/>
      <c r="Q113" s="149">
        <v>234</v>
      </c>
      <c r="R113" s="124">
        <f t="shared" si="31"/>
        <v>759</v>
      </c>
      <c r="S113" s="126"/>
      <c r="T113">
        <f>SUM(F113:Q113)</f>
        <v>759</v>
      </c>
    </row>
    <row r="114" spans="1:20" ht="35" customHeight="1" thickBot="1" x14ac:dyDescent="0.35">
      <c r="A114" s="127"/>
      <c r="B114" s="128"/>
      <c r="C114" s="129"/>
      <c r="D114" s="130"/>
      <c r="E114" s="131" t="s">
        <v>105</v>
      </c>
      <c r="F114" s="151"/>
      <c r="G114" s="152"/>
      <c r="H114" s="152"/>
      <c r="I114" s="151"/>
      <c r="J114" s="152"/>
      <c r="K114" s="151"/>
      <c r="L114" s="151"/>
      <c r="M114" s="151"/>
      <c r="N114" s="152"/>
      <c r="O114" s="152"/>
      <c r="P114" s="152"/>
      <c r="Q114" s="151"/>
      <c r="R114" s="132">
        <f t="shared" si="31"/>
        <v>0</v>
      </c>
      <c r="S114" s="134"/>
    </row>
    <row r="115" spans="1:20" ht="35" customHeight="1" x14ac:dyDescent="0.3">
      <c r="A115" s="119">
        <f t="shared" ref="A115" si="47">+A113+1</f>
        <v>52</v>
      </c>
      <c r="B115" s="120" t="s">
        <v>222</v>
      </c>
      <c r="C115" s="121" t="s">
        <v>102</v>
      </c>
      <c r="D115" s="122" t="s">
        <v>223</v>
      </c>
      <c r="E115" s="123" t="s">
        <v>104</v>
      </c>
      <c r="F115" s="149">
        <v>214</v>
      </c>
      <c r="G115" s="150"/>
      <c r="H115" s="150"/>
      <c r="I115" s="149">
        <v>311</v>
      </c>
      <c r="J115" s="150"/>
      <c r="K115" s="149"/>
      <c r="L115" s="149"/>
      <c r="M115" s="149"/>
      <c r="N115" s="150"/>
      <c r="O115" s="150"/>
      <c r="P115" s="150"/>
      <c r="Q115" s="149">
        <v>234</v>
      </c>
      <c r="R115" s="124">
        <f t="shared" si="31"/>
        <v>759</v>
      </c>
      <c r="S115" s="126"/>
      <c r="T115">
        <f>SUM(F115:Q115)</f>
        <v>759</v>
      </c>
    </row>
    <row r="116" spans="1:20" ht="35" customHeight="1" thickBot="1" x14ac:dyDescent="0.35">
      <c r="A116" s="127"/>
      <c r="B116" s="128"/>
      <c r="C116" s="129"/>
      <c r="D116" s="130"/>
      <c r="E116" s="131" t="s">
        <v>105</v>
      </c>
      <c r="F116" s="151"/>
      <c r="G116" s="152"/>
      <c r="H116" s="152"/>
      <c r="I116" s="151"/>
      <c r="J116" s="152"/>
      <c r="K116" s="151"/>
      <c r="L116" s="151"/>
      <c r="M116" s="151"/>
      <c r="N116" s="152"/>
      <c r="O116" s="152"/>
      <c r="P116" s="152"/>
      <c r="Q116" s="151"/>
      <c r="R116" s="132">
        <f t="shared" si="31"/>
        <v>0</v>
      </c>
      <c r="S116" s="134"/>
    </row>
    <row r="117" spans="1:20" ht="35" customHeight="1" x14ac:dyDescent="0.3">
      <c r="A117" s="119">
        <f t="shared" ref="A117" si="48">+A115+1</f>
        <v>53</v>
      </c>
      <c r="B117" s="120" t="s">
        <v>224</v>
      </c>
      <c r="C117" s="121" t="s">
        <v>102</v>
      </c>
      <c r="D117" s="122" t="s">
        <v>225</v>
      </c>
      <c r="E117" s="123" t="s">
        <v>104</v>
      </c>
      <c r="F117" s="149">
        <v>350</v>
      </c>
      <c r="G117" s="150">
        <v>120</v>
      </c>
      <c r="H117" s="150">
        <v>100</v>
      </c>
      <c r="I117" s="149">
        <v>650</v>
      </c>
      <c r="J117" s="150">
        <v>240</v>
      </c>
      <c r="K117" s="149">
        <v>550</v>
      </c>
      <c r="L117" s="149">
        <v>600</v>
      </c>
      <c r="M117" s="149">
        <v>200</v>
      </c>
      <c r="N117" s="150">
        <v>120</v>
      </c>
      <c r="O117" s="150">
        <v>175</v>
      </c>
      <c r="P117" s="150">
        <v>220</v>
      </c>
      <c r="Q117" s="149">
        <v>600</v>
      </c>
      <c r="R117" s="124">
        <f t="shared" si="31"/>
        <v>3925</v>
      </c>
      <c r="S117" s="126"/>
      <c r="T117">
        <f>SUM(F117:Q117)</f>
        <v>3925</v>
      </c>
    </row>
    <row r="118" spans="1:20" ht="35" customHeight="1" thickBot="1" x14ac:dyDescent="0.35">
      <c r="A118" s="127"/>
      <c r="B118" s="128"/>
      <c r="C118" s="129"/>
      <c r="D118" s="130"/>
      <c r="E118" s="131" t="s">
        <v>105</v>
      </c>
      <c r="F118" s="151"/>
      <c r="G118" s="152"/>
      <c r="H118" s="152"/>
      <c r="I118" s="151"/>
      <c r="J118" s="152"/>
      <c r="K118" s="151"/>
      <c r="L118" s="151"/>
      <c r="M118" s="151"/>
      <c r="N118" s="152"/>
      <c r="O118" s="152"/>
      <c r="P118" s="152"/>
      <c r="Q118" s="151"/>
      <c r="R118" s="132">
        <f t="shared" si="31"/>
        <v>0</v>
      </c>
      <c r="S118" s="134"/>
    </row>
    <row r="119" spans="1:20" ht="35" customHeight="1" x14ac:dyDescent="0.3">
      <c r="A119" s="119">
        <f t="shared" ref="A119" si="49">+A117+1</f>
        <v>54</v>
      </c>
      <c r="B119" s="120" t="s">
        <v>39</v>
      </c>
      <c r="C119" s="121" t="s">
        <v>115</v>
      </c>
      <c r="D119" s="122" t="s">
        <v>226</v>
      </c>
      <c r="E119" s="123" t="s">
        <v>104</v>
      </c>
      <c r="F119" s="149">
        <f>31*50</f>
        <v>1550</v>
      </c>
      <c r="G119" s="150">
        <v>130</v>
      </c>
      <c r="H119" s="150">
        <v>120</v>
      </c>
      <c r="I119" s="149">
        <f>31*45</f>
        <v>1395</v>
      </c>
      <c r="J119" s="150">
        <v>210</v>
      </c>
      <c r="K119" s="149">
        <f>31*35</f>
        <v>1085</v>
      </c>
      <c r="L119" s="149">
        <f>31*55</f>
        <v>1705</v>
      </c>
      <c r="M119" s="149">
        <v>200</v>
      </c>
      <c r="N119" s="150">
        <v>100</v>
      </c>
      <c r="O119" s="150">
        <v>180</v>
      </c>
      <c r="P119" s="150">
        <v>200</v>
      </c>
      <c r="Q119" s="149">
        <f>31*60</f>
        <v>1860</v>
      </c>
      <c r="R119" s="124">
        <f t="shared" si="31"/>
        <v>8735</v>
      </c>
      <c r="S119" s="126"/>
      <c r="T119">
        <f>SUM(F119:Q119)</f>
        <v>8735</v>
      </c>
    </row>
    <row r="120" spans="1:20" ht="35" customHeight="1" thickBot="1" x14ac:dyDescent="0.35">
      <c r="A120" s="127"/>
      <c r="B120" s="128"/>
      <c r="C120" s="129"/>
      <c r="D120" s="130"/>
      <c r="E120" s="131" t="s">
        <v>105</v>
      </c>
      <c r="F120" s="151"/>
      <c r="G120" s="152"/>
      <c r="H120" s="152"/>
      <c r="I120" s="151"/>
      <c r="J120" s="152"/>
      <c r="K120" s="151"/>
      <c r="L120" s="151"/>
      <c r="M120" s="151"/>
      <c r="N120" s="152"/>
      <c r="O120" s="152"/>
      <c r="P120" s="152"/>
      <c r="Q120" s="151"/>
      <c r="R120" s="132">
        <f t="shared" si="31"/>
        <v>0</v>
      </c>
      <c r="S120" s="134"/>
    </row>
    <row r="121" spans="1:20" ht="35" customHeight="1" x14ac:dyDescent="0.3">
      <c r="A121" s="119">
        <f t="shared" ref="A121" si="50">+A119+1</f>
        <v>55</v>
      </c>
      <c r="B121" s="180" t="s">
        <v>227</v>
      </c>
      <c r="C121" s="121" t="s">
        <v>115</v>
      </c>
      <c r="D121" s="122" t="s">
        <v>228</v>
      </c>
      <c r="E121" s="123" t="s">
        <v>104</v>
      </c>
      <c r="F121" s="149">
        <v>300</v>
      </c>
      <c r="G121" s="150">
        <v>130</v>
      </c>
      <c r="H121" s="150">
        <v>120</v>
      </c>
      <c r="I121" s="149">
        <v>500</v>
      </c>
      <c r="J121" s="150">
        <v>230</v>
      </c>
      <c r="K121" s="149">
        <v>500</v>
      </c>
      <c r="L121" s="149">
        <v>600</v>
      </c>
      <c r="M121" s="149">
        <v>200</v>
      </c>
      <c r="N121" s="150">
        <f>26*5</f>
        <v>130</v>
      </c>
      <c r="O121" s="150">
        <v>180</v>
      </c>
      <c r="P121" s="150">
        <v>200</v>
      </c>
      <c r="Q121" s="149">
        <v>500</v>
      </c>
      <c r="R121" s="124">
        <f t="shared" si="31"/>
        <v>3590</v>
      </c>
      <c r="S121" s="126"/>
      <c r="T121">
        <f>SUM(F121:Q121)</f>
        <v>3590</v>
      </c>
    </row>
    <row r="122" spans="1:20" ht="35" customHeight="1" thickBot="1" x14ac:dyDescent="0.35">
      <c r="A122" s="127"/>
      <c r="B122" s="181"/>
      <c r="C122" s="129"/>
      <c r="D122" s="130"/>
      <c r="E122" s="131" t="s">
        <v>105</v>
      </c>
      <c r="F122" s="151"/>
      <c r="G122" s="152"/>
      <c r="H122" s="152"/>
      <c r="I122" s="151"/>
      <c r="J122" s="152"/>
      <c r="K122" s="151"/>
      <c r="L122" s="151"/>
      <c r="M122" s="151"/>
      <c r="N122" s="152"/>
      <c r="O122" s="152"/>
      <c r="P122" s="152"/>
      <c r="Q122" s="151"/>
      <c r="R122" s="132">
        <f t="shared" si="31"/>
        <v>0</v>
      </c>
      <c r="S122" s="134"/>
    </row>
    <row r="123" spans="1:20" ht="35" customHeight="1" x14ac:dyDescent="0.3">
      <c r="A123" s="119">
        <f t="shared" ref="A123" si="51">+A121+1</f>
        <v>56</v>
      </c>
      <c r="B123" s="120" t="s">
        <v>229</v>
      </c>
      <c r="C123" s="121"/>
      <c r="D123" s="122" t="s">
        <v>230</v>
      </c>
      <c r="E123" s="123" t="s">
        <v>104</v>
      </c>
      <c r="F123" s="149">
        <v>0</v>
      </c>
      <c r="G123" s="150"/>
      <c r="H123" s="150">
        <v>133</v>
      </c>
      <c r="I123" s="149">
        <v>75</v>
      </c>
      <c r="J123" s="150"/>
      <c r="K123" s="149"/>
      <c r="L123" s="149"/>
      <c r="M123" s="149"/>
      <c r="N123" s="150"/>
      <c r="O123" s="150"/>
      <c r="P123" s="150"/>
      <c r="Q123" s="149"/>
      <c r="R123" s="124">
        <f t="shared" si="31"/>
        <v>208</v>
      </c>
      <c r="S123" s="126"/>
      <c r="T123">
        <f>SUM(F123:Q123)</f>
        <v>208</v>
      </c>
    </row>
    <row r="124" spans="1:20" ht="35" customHeight="1" thickBot="1" x14ac:dyDescent="0.35">
      <c r="A124" s="127"/>
      <c r="B124" s="128"/>
      <c r="C124" s="129"/>
      <c r="D124" s="130"/>
      <c r="E124" s="131" t="s">
        <v>105</v>
      </c>
      <c r="F124" s="151"/>
      <c r="G124" s="152"/>
      <c r="H124" s="152"/>
      <c r="I124" s="151"/>
      <c r="J124" s="152"/>
      <c r="K124" s="151"/>
      <c r="L124" s="151"/>
      <c r="M124" s="151"/>
      <c r="N124" s="152"/>
      <c r="O124" s="152"/>
      <c r="P124" s="152"/>
      <c r="Q124" s="151"/>
      <c r="R124" s="132">
        <f t="shared" si="31"/>
        <v>0</v>
      </c>
      <c r="S124" s="134"/>
    </row>
    <row r="125" spans="1:20" ht="35" customHeight="1" x14ac:dyDescent="0.3">
      <c r="A125" s="119">
        <f t="shared" ref="A125" si="52">+A123+1</f>
        <v>57</v>
      </c>
      <c r="B125" s="182" t="s">
        <v>231</v>
      </c>
      <c r="C125" s="121"/>
      <c r="D125" s="160" t="s">
        <v>232</v>
      </c>
      <c r="E125" s="123" t="s">
        <v>104</v>
      </c>
      <c r="F125" s="149"/>
      <c r="G125" s="150"/>
      <c r="H125" s="150">
        <v>80</v>
      </c>
      <c r="I125" s="149"/>
      <c r="J125" s="150">
        <v>10</v>
      </c>
      <c r="K125" s="149"/>
      <c r="L125" s="149"/>
      <c r="M125" s="149">
        <v>75</v>
      </c>
      <c r="N125" s="150"/>
      <c r="O125" s="150"/>
      <c r="P125" s="150"/>
      <c r="Q125" s="149"/>
      <c r="R125" s="124">
        <f t="shared" si="31"/>
        <v>165</v>
      </c>
      <c r="S125" s="183" t="s">
        <v>233</v>
      </c>
      <c r="T125">
        <f>SUM(F125:Q125)</f>
        <v>165</v>
      </c>
    </row>
    <row r="126" spans="1:20" ht="35" customHeight="1" thickBot="1" x14ac:dyDescent="0.35">
      <c r="A126" s="127"/>
      <c r="B126" s="184"/>
      <c r="C126" s="129"/>
      <c r="D126" s="163"/>
      <c r="E126" s="131" t="s">
        <v>105</v>
      </c>
      <c r="F126" s="151"/>
      <c r="G126" s="152"/>
      <c r="H126" s="152"/>
      <c r="I126" s="151"/>
      <c r="J126" s="152"/>
      <c r="K126" s="151"/>
      <c r="L126" s="151"/>
      <c r="M126" s="151"/>
      <c r="N126" s="152"/>
      <c r="O126" s="152"/>
      <c r="P126" s="152"/>
      <c r="Q126" s="151"/>
      <c r="R126" s="132">
        <f t="shared" si="31"/>
        <v>0</v>
      </c>
      <c r="S126" s="185"/>
    </row>
    <row r="127" spans="1:20" ht="35" customHeight="1" x14ac:dyDescent="0.3">
      <c r="A127" s="186">
        <f t="shared" ref="A127:A129" si="53">+A125+1</f>
        <v>58</v>
      </c>
      <c r="B127" s="187" t="s">
        <v>234</v>
      </c>
      <c r="C127" s="188" t="s">
        <v>115</v>
      </c>
      <c r="D127" s="189" t="s">
        <v>235</v>
      </c>
      <c r="E127" s="190" t="s">
        <v>104</v>
      </c>
      <c r="F127" s="191">
        <v>130</v>
      </c>
      <c r="G127" s="192">
        <v>100</v>
      </c>
      <c r="H127" s="192">
        <v>100</v>
      </c>
      <c r="I127" s="191">
        <v>300</v>
      </c>
      <c r="J127" s="192">
        <v>200</v>
      </c>
      <c r="K127" s="191">
        <v>400</v>
      </c>
      <c r="L127" s="191">
        <v>400</v>
      </c>
      <c r="M127" s="191">
        <v>200</v>
      </c>
      <c r="N127" s="192">
        <v>100</v>
      </c>
      <c r="O127" s="192">
        <v>150</v>
      </c>
      <c r="P127" s="192">
        <v>200</v>
      </c>
      <c r="Q127" s="191">
        <v>600</v>
      </c>
      <c r="R127" s="124">
        <f t="shared" si="31"/>
        <v>2880</v>
      </c>
      <c r="S127" s="193"/>
      <c r="T127">
        <f>SUM(F127:Q127)</f>
        <v>2880</v>
      </c>
    </row>
    <row r="128" spans="1:20" ht="35" customHeight="1" thickBot="1" x14ac:dyDescent="0.35">
      <c r="A128" s="127"/>
      <c r="B128" s="179"/>
      <c r="C128" s="194"/>
      <c r="D128" s="163"/>
      <c r="E128" s="131" t="s">
        <v>105</v>
      </c>
      <c r="F128" s="151"/>
      <c r="G128" s="152"/>
      <c r="H128" s="152"/>
      <c r="I128" s="151"/>
      <c r="J128" s="152"/>
      <c r="K128" s="151"/>
      <c r="L128" s="151"/>
      <c r="M128" s="151"/>
      <c r="N128" s="152"/>
      <c r="O128" s="152"/>
      <c r="P128" s="152"/>
      <c r="Q128" s="151"/>
      <c r="R128" s="132">
        <f t="shared" si="31"/>
        <v>0</v>
      </c>
      <c r="S128" s="158"/>
    </row>
    <row r="129" spans="1:21" ht="35" customHeight="1" x14ac:dyDescent="0.3">
      <c r="A129" s="186">
        <f t="shared" si="53"/>
        <v>59</v>
      </c>
      <c r="B129" s="187" t="s">
        <v>236</v>
      </c>
      <c r="C129" s="188" t="s">
        <v>237</v>
      </c>
      <c r="D129" s="189" t="s">
        <v>238</v>
      </c>
      <c r="E129" s="190" t="s">
        <v>104</v>
      </c>
      <c r="F129" s="176">
        <v>120</v>
      </c>
      <c r="G129" s="177">
        <v>200</v>
      </c>
      <c r="H129" s="177">
        <v>100</v>
      </c>
      <c r="I129" s="176">
        <v>200</v>
      </c>
      <c r="J129" s="177">
        <v>210</v>
      </c>
      <c r="K129" s="176">
        <v>60</v>
      </c>
      <c r="L129" s="176">
        <v>120</v>
      </c>
      <c r="M129" s="176">
        <v>140</v>
      </c>
      <c r="N129" s="177">
        <v>100</v>
      </c>
      <c r="O129" s="177">
        <v>90</v>
      </c>
      <c r="P129" s="177">
        <v>189</v>
      </c>
      <c r="Q129" s="191">
        <v>120</v>
      </c>
      <c r="R129" s="124">
        <f t="shared" si="31"/>
        <v>1649</v>
      </c>
      <c r="S129" s="193"/>
      <c r="T129">
        <f>SUM(F129:Q129)</f>
        <v>1649</v>
      </c>
    </row>
    <row r="130" spans="1:21" ht="35" customHeight="1" thickBot="1" x14ac:dyDescent="0.35">
      <c r="A130" s="127"/>
      <c r="B130" s="179"/>
      <c r="C130" s="194"/>
      <c r="D130" s="163"/>
      <c r="E130" s="131" t="s">
        <v>105</v>
      </c>
      <c r="F130" s="151"/>
      <c r="G130" s="152"/>
      <c r="H130" s="152"/>
      <c r="I130" s="151"/>
      <c r="J130" s="152"/>
      <c r="K130" s="151"/>
      <c r="L130" s="151"/>
      <c r="M130" s="151"/>
      <c r="N130" s="152"/>
      <c r="O130" s="152"/>
      <c r="P130" s="152"/>
      <c r="Q130" s="151"/>
      <c r="R130" s="132">
        <f t="shared" si="31"/>
        <v>0</v>
      </c>
      <c r="S130" s="158"/>
    </row>
    <row r="131" spans="1:21" ht="15" customHeight="1" x14ac:dyDescent="0.3">
      <c r="A131" s="195" t="s">
        <v>20</v>
      </c>
      <c r="B131" s="196"/>
      <c r="C131" s="196"/>
      <c r="D131" s="197"/>
      <c r="E131" s="198" t="s">
        <v>104</v>
      </c>
      <c r="F131" s="196"/>
      <c r="G131" s="196"/>
      <c r="H131" s="196"/>
      <c r="I131" s="196"/>
      <c r="J131" s="196"/>
      <c r="K131" s="196"/>
      <c r="L131" s="196"/>
      <c r="M131" s="196"/>
      <c r="N131" s="196"/>
      <c r="O131" s="196"/>
      <c r="P131" s="197"/>
      <c r="Q131" s="199">
        <f>+T131</f>
        <v>253979</v>
      </c>
      <c r="R131" s="200"/>
      <c r="S131" s="193"/>
      <c r="T131" s="201">
        <f>SUM(T13:T129)</f>
        <v>253979</v>
      </c>
      <c r="U131">
        <f>SUM(U13:U129)</f>
        <v>260</v>
      </c>
    </row>
    <row r="132" spans="1:21" ht="15.75" customHeight="1" thickBot="1" x14ac:dyDescent="0.35">
      <c r="A132" s="202"/>
      <c r="B132" s="203"/>
      <c r="C132" s="203"/>
      <c r="D132" s="204"/>
      <c r="E132" s="205" t="s">
        <v>105</v>
      </c>
      <c r="F132" s="206"/>
      <c r="G132" s="206"/>
      <c r="H132" s="206"/>
      <c r="I132" s="206"/>
      <c r="J132" s="206"/>
      <c r="K132" s="206"/>
      <c r="L132" s="206"/>
      <c r="M132" s="206"/>
      <c r="N132" s="206"/>
      <c r="O132" s="206"/>
      <c r="P132" s="207"/>
      <c r="Q132" s="208">
        <f>+U131</f>
        <v>260</v>
      </c>
      <c r="R132" s="209"/>
      <c r="S132" s="158"/>
    </row>
    <row r="133" spans="1:21" ht="15" thickBot="1" x14ac:dyDescent="0.35">
      <c r="A133" s="210"/>
      <c r="B133" s="211"/>
      <c r="C133" s="211"/>
      <c r="D133" s="212"/>
      <c r="E133" s="205" t="s">
        <v>67</v>
      </c>
      <c r="F133" s="206"/>
      <c r="G133" s="206"/>
      <c r="H133" s="206"/>
      <c r="I133" s="206"/>
      <c r="J133" s="206"/>
      <c r="K133" s="206"/>
      <c r="L133" s="206"/>
      <c r="M133" s="206"/>
      <c r="N133" s="206"/>
      <c r="O133" s="206"/>
      <c r="P133" s="207"/>
      <c r="Q133" s="208">
        <f>Q131+Q132</f>
        <v>254239</v>
      </c>
      <c r="R133" s="209"/>
      <c r="S133" s="213"/>
    </row>
    <row r="134" spans="1:21" ht="14" x14ac:dyDescent="0.3">
      <c r="B134" s="214"/>
      <c r="C134" s="215"/>
      <c r="E134" s="88"/>
    </row>
    <row r="135" spans="1:21" ht="14" x14ac:dyDescent="0.3">
      <c r="B135" s="214"/>
      <c r="C135" s="215"/>
      <c r="E135" s="88"/>
    </row>
    <row r="136" spans="1:21" ht="14" x14ac:dyDescent="0.3">
      <c r="B136" s="214"/>
      <c r="C136" s="215"/>
      <c r="E136" s="88"/>
      <c r="M136" s="216" t="s">
        <v>239</v>
      </c>
      <c r="N136" s="216"/>
      <c r="O136" s="216"/>
      <c r="P136" s="216"/>
      <c r="Q136" s="216"/>
      <c r="R136" s="216"/>
    </row>
    <row r="137" spans="1:21" ht="14" x14ac:dyDescent="0.3">
      <c r="B137" s="214"/>
      <c r="C137" s="215"/>
      <c r="E137" s="88"/>
      <c r="M137" s="216" t="s">
        <v>240</v>
      </c>
      <c r="N137" s="216"/>
      <c r="O137" s="216"/>
      <c r="P137" s="216"/>
      <c r="Q137" s="216"/>
      <c r="R137" s="216"/>
    </row>
    <row r="138" spans="1:21" ht="14" x14ac:dyDescent="0.3">
      <c r="B138" s="214"/>
      <c r="C138" s="215"/>
      <c r="E138" s="88"/>
      <c r="M138" s="216" t="s">
        <v>241</v>
      </c>
      <c r="N138" s="216"/>
      <c r="O138" s="216"/>
      <c r="P138" s="216"/>
      <c r="Q138" s="216"/>
      <c r="R138" s="216"/>
    </row>
    <row r="139" spans="1:21" ht="14" x14ac:dyDescent="0.3">
      <c r="B139" s="214"/>
      <c r="C139" s="215"/>
      <c r="E139" s="88"/>
      <c r="M139" s="216" t="s">
        <v>242</v>
      </c>
      <c r="N139" s="216"/>
      <c r="O139" s="216"/>
      <c r="P139" s="216"/>
      <c r="Q139" s="216"/>
      <c r="R139" s="216"/>
    </row>
    <row r="140" spans="1:21" ht="14" x14ac:dyDescent="0.3">
      <c r="B140" s="214"/>
      <c r="C140" s="215"/>
      <c r="E140" s="88"/>
      <c r="M140" s="216"/>
      <c r="N140" s="216"/>
      <c r="O140" s="216"/>
      <c r="P140" s="216"/>
      <c r="Q140" s="216"/>
      <c r="R140" s="216"/>
    </row>
    <row r="141" spans="1:21" ht="14" x14ac:dyDescent="0.3">
      <c r="B141" s="214"/>
      <c r="C141" s="215"/>
      <c r="E141" s="88"/>
      <c r="M141" s="216"/>
      <c r="N141" s="216"/>
      <c r="O141" s="216"/>
      <c r="P141" s="216"/>
      <c r="Q141" s="216"/>
      <c r="R141" s="216"/>
    </row>
    <row r="142" spans="1:21" ht="14" x14ac:dyDescent="0.3">
      <c r="B142" s="214"/>
      <c r="C142" s="215"/>
      <c r="E142" s="88"/>
      <c r="M142" s="216"/>
      <c r="N142" s="216"/>
      <c r="O142" s="216"/>
      <c r="P142" s="216"/>
      <c r="Q142" s="216"/>
      <c r="R142" s="216"/>
    </row>
    <row r="143" spans="1:21" ht="14" x14ac:dyDescent="0.3">
      <c r="B143" s="214"/>
      <c r="C143" s="215"/>
      <c r="M143" s="216"/>
      <c r="N143" s="216"/>
      <c r="O143" s="216"/>
      <c r="P143" s="216"/>
      <c r="Q143" s="216"/>
      <c r="R143" s="216"/>
    </row>
    <row r="144" spans="1:21" ht="14" x14ac:dyDescent="0.3">
      <c r="B144" s="214"/>
      <c r="C144" s="215"/>
      <c r="M144" s="216" t="s">
        <v>243</v>
      </c>
      <c r="N144" s="216"/>
      <c r="O144" s="216"/>
      <c r="P144" s="216"/>
      <c r="Q144" s="216"/>
      <c r="R144" s="216"/>
    </row>
    <row r="145" spans="2:18" x14ac:dyDescent="0.3">
      <c r="B145" s="214"/>
      <c r="M145" s="216" t="s">
        <v>244</v>
      </c>
      <c r="N145" s="216"/>
      <c r="O145" s="216"/>
      <c r="P145" s="216"/>
      <c r="Q145" s="216"/>
      <c r="R145" s="216"/>
    </row>
    <row r="146" spans="2:18" x14ac:dyDescent="0.3">
      <c r="B146" s="214"/>
      <c r="M146" s="216" t="s">
        <v>245</v>
      </c>
      <c r="N146" s="216"/>
      <c r="O146" s="216"/>
      <c r="P146" s="216"/>
      <c r="Q146" s="216"/>
      <c r="R146" s="216"/>
    </row>
    <row r="147" spans="2:18" x14ac:dyDescent="0.3">
      <c r="B147" s="214"/>
    </row>
    <row r="148" spans="2:18" x14ac:dyDescent="0.3">
      <c r="B148" s="214"/>
    </row>
    <row r="149" spans="2:18" x14ac:dyDescent="0.3">
      <c r="B149" s="214"/>
    </row>
    <row r="150" spans="2:18" x14ac:dyDescent="0.3">
      <c r="B150" s="214"/>
    </row>
    <row r="151" spans="2:18" x14ac:dyDescent="0.3">
      <c r="B151" s="214"/>
    </row>
    <row r="152" spans="2:18" x14ac:dyDescent="0.3">
      <c r="B152" s="214"/>
    </row>
    <row r="153" spans="2:18" x14ac:dyDescent="0.3">
      <c r="B153" s="214"/>
    </row>
    <row r="154" spans="2:18" x14ac:dyDescent="0.3">
      <c r="B154" s="214"/>
    </row>
    <row r="155" spans="2:18" x14ac:dyDescent="0.3">
      <c r="B155" s="214"/>
    </row>
    <row r="156" spans="2:18" x14ac:dyDescent="0.3">
      <c r="B156" s="214"/>
    </row>
    <row r="157" spans="2:18" x14ac:dyDescent="0.3">
      <c r="B157" s="214"/>
    </row>
    <row r="158" spans="2:18" x14ac:dyDescent="0.3">
      <c r="B158" s="214"/>
    </row>
    <row r="159" spans="2:18" x14ac:dyDescent="0.3">
      <c r="B159" s="214"/>
    </row>
    <row r="160" spans="2:18" x14ac:dyDescent="0.3">
      <c r="B160" s="214"/>
    </row>
  </sheetData>
  <mergeCells count="286">
    <mergeCell ref="M143:R143"/>
    <mergeCell ref="M144:R144"/>
    <mergeCell ref="M145:R145"/>
    <mergeCell ref="M146:R146"/>
    <mergeCell ref="M137:R137"/>
    <mergeCell ref="M138:R138"/>
    <mergeCell ref="M139:R139"/>
    <mergeCell ref="M140:R140"/>
    <mergeCell ref="M141:R141"/>
    <mergeCell ref="M142:R142"/>
    <mergeCell ref="Q131:R131"/>
    <mergeCell ref="E132:P132"/>
    <mergeCell ref="Q132:R132"/>
    <mergeCell ref="E133:P133"/>
    <mergeCell ref="Q133:R133"/>
    <mergeCell ref="M136:R136"/>
    <mergeCell ref="A129:A130"/>
    <mergeCell ref="B129:B130"/>
    <mergeCell ref="C129:C130"/>
    <mergeCell ref="D129:D130"/>
    <mergeCell ref="A131:D133"/>
    <mergeCell ref="E131:P131"/>
    <mergeCell ref="A125:A126"/>
    <mergeCell ref="B125:B126"/>
    <mergeCell ref="C125:C126"/>
    <mergeCell ref="D125:D126"/>
    <mergeCell ref="S125:S126"/>
    <mergeCell ref="A127:A128"/>
    <mergeCell ref="B127:B128"/>
    <mergeCell ref="C127:C128"/>
    <mergeCell ref="D127:D128"/>
    <mergeCell ref="A121:A122"/>
    <mergeCell ref="B121:B122"/>
    <mergeCell ref="C121:C122"/>
    <mergeCell ref="D121:D122"/>
    <mergeCell ref="A123:A124"/>
    <mergeCell ref="B123:B124"/>
    <mergeCell ref="C123:C124"/>
    <mergeCell ref="D123:D124"/>
    <mergeCell ref="A117:A118"/>
    <mergeCell ref="B117:B118"/>
    <mergeCell ref="C117:C118"/>
    <mergeCell ref="D117:D118"/>
    <mergeCell ref="A119:A120"/>
    <mergeCell ref="B119:B120"/>
    <mergeCell ref="C119:C120"/>
    <mergeCell ref="D119:D120"/>
    <mergeCell ref="A113:A114"/>
    <mergeCell ref="B113:B114"/>
    <mergeCell ref="C113:C114"/>
    <mergeCell ref="D113:D114"/>
    <mergeCell ref="A115:A116"/>
    <mergeCell ref="B115:B116"/>
    <mergeCell ref="C115:C116"/>
    <mergeCell ref="D115:D116"/>
    <mergeCell ref="A109:A110"/>
    <mergeCell ref="B109:B110"/>
    <mergeCell ref="C109:C110"/>
    <mergeCell ref="D109:D110"/>
    <mergeCell ref="A111:A112"/>
    <mergeCell ref="B111:B112"/>
    <mergeCell ref="C111:C112"/>
    <mergeCell ref="D111:D112"/>
    <mergeCell ref="A105:A106"/>
    <mergeCell ref="B105:B106"/>
    <mergeCell ref="C105:C106"/>
    <mergeCell ref="D105:D106"/>
    <mergeCell ref="A107:A108"/>
    <mergeCell ref="B107:B108"/>
    <mergeCell ref="C107:C108"/>
    <mergeCell ref="D107:D108"/>
    <mergeCell ref="A101:A102"/>
    <mergeCell ref="B101:B102"/>
    <mergeCell ref="C101:C102"/>
    <mergeCell ref="D101:D102"/>
    <mergeCell ref="A103:A104"/>
    <mergeCell ref="B103:B104"/>
    <mergeCell ref="C103:C104"/>
    <mergeCell ref="D103:D104"/>
    <mergeCell ref="A97:A98"/>
    <mergeCell ref="B97:B98"/>
    <mergeCell ref="C97:C98"/>
    <mergeCell ref="D97:D98"/>
    <mergeCell ref="A99:A100"/>
    <mergeCell ref="B99:B100"/>
    <mergeCell ref="C99:C100"/>
    <mergeCell ref="D99:D100"/>
    <mergeCell ref="A93:A94"/>
    <mergeCell ref="B93:B94"/>
    <mergeCell ref="C93:C94"/>
    <mergeCell ref="D93:D94"/>
    <mergeCell ref="A95:A96"/>
    <mergeCell ref="B95:B96"/>
    <mergeCell ref="C95:C96"/>
    <mergeCell ref="D95:D96"/>
    <mergeCell ref="S87:S88"/>
    <mergeCell ref="A89:A90"/>
    <mergeCell ref="B89:B90"/>
    <mergeCell ref="C89:C90"/>
    <mergeCell ref="D89:D90"/>
    <mergeCell ref="A91:A92"/>
    <mergeCell ref="B91:B92"/>
    <mergeCell ref="C91:C92"/>
    <mergeCell ref="D91:D92"/>
    <mergeCell ref="A85:A86"/>
    <mergeCell ref="B85:B86"/>
    <mergeCell ref="C85:C86"/>
    <mergeCell ref="D85:D86"/>
    <mergeCell ref="A87:A88"/>
    <mergeCell ref="B87:B88"/>
    <mergeCell ref="C87:C88"/>
    <mergeCell ref="D87:D88"/>
    <mergeCell ref="A81:A82"/>
    <mergeCell ref="B81:B82"/>
    <mergeCell ref="C81:C82"/>
    <mergeCell ref="D81:D82"/>
    <mergeCell ref="A83:A84"/>
    <mergeCell ref="B83:B84"/>
    <mergeCell ref="C83:C84"/>
    <mergeCell ref="D83:D84"/>
    <mergeCell ref="A77:A78"/>
    <mergeCell ref="B77:B78"/>
    <mergeCell ref="C77:C78"/>
    <mergeCell ref="D77:D78"/>
    <mergeCell ref="A79:A80"/>
    <mergeCell ref="B79:B80"/>
    <mergeCell ref="C79:C80"/>
    <mergeCell ref="D79:D80"/>
    <mergeCell ref="A73:A74"/>
    <mergeCell ref="B73:B74"/>
    <mergeCell ref="C73:C74"/>
    <mergeCell ref="D73:D74"/>
    <mergeCell ref="A75:A76"/>
    <mergeCell ref="B75:B76"/>
    <mergeCell ref="C75:C76"/>
    <mergeCell ref="D75:D76"/>
    <mergeCell ref="A69:A70"/>
    <mergeCell ref="B69:B70"/>
    <mergeCell ref="C69:C70"/>
    <mergeCell ref="D69:D70"/>
    <mergeCell ref="A71:A72"/>
    <mergeCell ref="B71:B72"/>
    <mergeCell ref="C71:C72"/>
    <mergeCell ref="D71:D72"/>
    <mergeCell ref="A65:A66"/>
    <mergeCell ref="B65:B66"/>
    <mergeCell ref="C65:C66"/>
    <mergeCell ref="D65:D66"/>
    <mergeCell ref="A67:A68"/>
    <mergeCell ref="B67:B68"/>
    <mergeCell ref="C67:C68"/>
    <mergeCell ref="D67:D68"/>
    <mergeCell ref="A61:A62"/>
    <mergeCell ref="B61:B62"/>
    <mergeCell ref="C61:C62"/>
    <mergeCell ref="D61:D62"/>
    <mergeCell ref="S61:S62"/>
    <mergeCell ref="A63:A64"/>
    <mergeCell ref="B63:B64"/>
    <mergeCell ref="C63:C64"/>
    <mergeCell ref="D63:D64"/>
    <mergeCell ref="A57:A58"/>
    <mergeCell ref="B57:B58"/>
    <mergeCell ref="C57:C58"/>
    <mergeCell ref="D57:D58"/>
    <mergeCell ref="A59:A60"/>
    <mergeCell ref="B59:B60"/>
    <mergeCell ref="C59:C60"/>
    <mergeCell ref="D59:D60"/>
    <mergeCell ref="A53:A54"/>
    <mergeCell ref="B53:B54"/>
    <mergeCell ref="C53:C54"/>
    <mergeCell ref="D53:D54"/>
    <mergeCell ref="A55:A56"/>
    <mergeCell ref="B55:B56"/>
    <mergeCell ref="C55:C56"/>
    <mergeCell ref="D55:D56"/>
    <mergeCell ref="A49:A50"/>
    <mergeCell ref="B49:B50"/>
    <mergeCell ref="C49:C50"/>
    <mergeCell ref="D49:D50"/>
    <mergeCell ref="A51:A52"/>
    <mergeCell ref="B51:B52"/>
    <mergeCell ref="C51:C52"/>
    <mergeCell ref="D51:D52"/>
    <mergeCell ref="A45:A46"/>
    <mergeCell ref="B45:B46"/>
    <mergeCell ref="C45:C46"/>
    <mergeCell ref="D45:D46"/>
    <mergeCell ref="A47:A48"/>
    <mergeCell ref="B47:B48"/>
    <mergeCell ref="C47:C48"/>
    <mergeCell ref="D47:D48"/>
    <mergeCell ref="S39:S40"/>
    <mergeCell ref="A41:A42"/>
    <mergeCell ref="B41:B42"/>
    <mergeCell ref="C41:C42"/>
    <mergeCell ref="D41:D42"/>
    <mergeCell ref="A43:A44"/>
    <mergeCell ref="B43:B44"/>
    <mergeCell ref="C43:C44"/>
    <mergeCell ref="D43:D44"/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S29:S30"/>
    <mergeCell ref="A31:A32"/>
    <mergeCell ref="B31:B32"/>
    <mergeCell ref="C31:C32"/>
    <mergeCell ref="D31:D32"/>
    <mergeCell ref="S25:S26"/>
    <mergeCell ref="A27:A28"/>
    <mergeCell ref="B27:B28"/>
    <mergeCell ref="C27:C28"/>
    <mergeCell ref="D27:D28"/>
    <mergeCell ref="S27:S28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M11:M12"/>
    <mergeCell ref="N11:N12"/>
    <mergeCell ref="O11:O12"/>
    <mergeCell ref="P11:P12"/>
    <mergeCell ref="Q11:Q12"/>
    <mergeCell ref="A13:A14"/>
    <mergeCell ref="B13:B14"/>
    <mergeCell ref="C13:C14"/>
    <mergeCell ref="D13:D14"/>
    <mergeCell ref="F10:Q10"/>
    <mergeCell ref="R10:R12"/>
    <mergeCell ref="S10:S12"/>
    <mergeCell ref="F11:F12"/>
    <mergeCell ref="G11:G12"/>
    <mergeCell ref="H11:H12"/>
    <mergeCell ref="I11:I12"/>
    <mergeCell ref="J11:J12"/>
    <mergeCell ref="K11:K12"/>
    <mergeCell ref="L11:L12"/>
    <mergeCell ref="A1:S1"/>
    <mergeCell ref="A2:S2"/>
    <mergeCell ref="A3:S3"/>
    <mergeCell ref="A7:T7"/>
    <mergeCell ref="A8:T8"/>
    <mergeCell ref="A10:A12"/>
    <mergeCell ref="B10:B12"/>
    <mergeCell ref="C10:C12"/>
    <mergeCell ref="D10:D12"/>
    <mergeCell ref="E10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</vt:lpstr>
      <vt:lpstr>2021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bps7100</dc:creator>
  <cp:lastModifiedBy>ASUS</cp:lastModifiedBy>
  <dcterms:created xsi:type="dcterms:W3CDTF">2023-03-08T04:09:19Z</dcterms:created>
  <dcterms:modified xsi:type="dcterms:W3CDTF">2024-05-04T04:19:36Z</dcterms:modified>
</cp:coreProperties>
</file>